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797f02ad5e88d1/UW Maritime Archaeology/SCUBA/"/>
    </mc:Choice>
  </mc:AlternateContent>
  <xr:revisionPtr revIDLastSave="915" documentId="8_{C0C30561-12BB-4012-AFC1-7983B186663E}" xr6:coauthVersionLast="47" xr6:coauthVersionMax="47" xr10:uidLastSave="{08F61858-184F-499C-BC35-F90DCB7F7D29}"/>
  <bookViews>
    <workbookView xWindow="-98" yWindow="-98" windowWidth="22695" windowHeight="15196" tabRatio="308" xr2:uid="{72C1F642-3E8E-4E27-A109-50EAE6FF7657}"/>
  </bookViews>
  <sheets>
    <sheet name="Lookups" sheetId="1" r:id="rId1"/>
    <sheet name="Mike SAC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8" i="1" l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J38" i="1"/>
  <c r="J37" i="1"/>
  <c r="I37" i="1"/>
  <c r="AC34" i="1"/>
  <c r="R15" i="1"/>
  <c r="J8" i="1" l="1"/>
  <c r="P14" i="1"/>
  <c r="D3" i="1"/>
  <c r="N8" i="1"/>
  <c r="U4" i="1" s="1"/>
  <c r="T5" i="1" s="1"/>
  <c r="D9" i="1"/>
  <c r="C16" i="1" s="1"/>
  <c r="D10" i="1"/>
  <c r="K32" i="1"/>
  <c r="V5" i="1"/>
  <c r="T4" i="1"/>
  <c r="R9" i="1"/>
  <c r="R8" i="1"/>
  <c r="N9" i="1"/>
  <c r="I3" i="1"/>
  <c r="D14" i="1"/>
  <c r="D13" i="1"/>
  <c r="D12" i="1"/>
  <c r="D11" i="1"/>
  <c r="C14" i="1"/>
  <c r="D22" i="1" s="1"/>
  <c r="E22" i="1" s="1"/>
  <c r="C13" i="1"/>
  <c r="C12" i="1"/>
  <c r="D20" i="1" s="1"/>
  <c r="E20" i="1" s="1"/>
  <c r="C11" i="1"/>
  <c r="D19" i="1" s="1"/>
  <c r="E19" i="1" s="1"/>
  <c r="C10" i="1"/>
  <c r="D18" i="1" s="1"/>
  <c r="C9" i="1"/>
  <c r="C22" i="1" l="1"/>
  <c r="E18" i="1"/>
  <c r="D21" i="1"/>
  <c r="E21" i="1" s="1"/>
  <c r="D16" i="1"/>
  <c r="E16" i="1" s="1"/>
  <c r="D17" i="1"/>
  <c r="E17" i="1" s="1"/>
  <c r="P15" i="1"/>
  <c r="R16" i="1"/>
  <c r="E7" i="1"/>
  <c r="J14" i="1" s="1"/>
  <c r="C18" i="1"/>
  <c r="C20" i="1"/>
  <c r="C17" i="1"/>
  <c r="C19" i="1"/>
  <c r="C21" i="1"/>
  <c r="S8" i="1"/>
  <c r="Y14" i="1" l="1"/>
  <c r="Y15" i="1"/>
  <c r="E8" i="1"/>
  <c r="R17" i="1"/>
  <c r="Y16" i="1"/>
  <c r="P16" i="1"/>
  <c r="U5" i="1"/>
  <c r="T6" i="1" s="1"/>
  <c r="S9" i="1"/>
  <c r="Z15" i="1" l="1"/>
  <c r="J17" i="1"/>
  <c r="N17" i="1" s="1"/>
  <c r="I39" i="1" s="1"/>
  <c r="J15" i="1"/>
  <c r="N15" i="1" s="1"/>
  <c r="J16" i="1"/>
  <c r="N16" i="1" s="1"/>
  <c r="N14" i="1"/>
  <c r="R18" i="1"/>
  <c r="Y17" i="1"/>
  <c r="P17" i="1"/>
  <c r="U26" i="1" l="1"/>
  <c r="O26" i="1" s="1"/>
  <c r="U31" i="1"/>
  <c r="U30" i="1"/>
  <c r="U28" i="1"/>
  <c r="U27" i="1"/>
  <c r="U29" i="1"/>
  <c r="S14" i="1"/>
  <c r="U15" i="1"/>
  <c r="U14" i="1"/>
  <c r="O23" i="1" s="1"/>
  <c r="T15" i="1"/>
  <c r="T14" i="1"/>
  <c r="S15" i="1"/>
  <c r="N18" i="1"/>
  <c r="N19" i="1" s="1"/>
  <c r="N20" i="1" s="1"/>
  <c r="R19" i="1"/>
  <c r="Y18" i="1"/>
  <c r="P18" i="1"/>
  <c r="R20" i="1" l="1"/>
  <c r="Y19" i="1"/>
  <c r="P19" i="1"/>
  <c r="R21" i="1" l="1"/>
  <c r="Y20" i="1"/>
  <c r="Z20" i="1" s="1"/>
  <c r="P20" i="1"/>
  <c r="W16" i="1" l="1"/>
  <c r="S16" i="1" s="1"/>
  <c r="U16" i="1" s="1"/>
  <c r="W17" i="1"/>
  <c r="S17" i="1" s="1"/>
  <c r="W18" i="1"/>
  <c r="S18" i="1" s="1"/>
  <c r="W19" i="1"/>
  <c r="S19" i="1" s="1"/>
  <c r="W20" i="1"/>
  <c r="S20" i="1" s="1"/>
  <c r="R22" i="1"/>
  <c r="Y21" i="1"/>
  <c r="P21" i="1"/>
  <c r="AA20" i="1" l="1"/>
  <c r="R23" i="1"/>
  <c r="Y22" i="1"/>
  <c r="P22" i="1"/>
  <c r="T18" i="1"/>
  <c r="T17" i="1" l="1"/>
  <c r="T19" i="1"/>
  <c r="U19" i="1"/>
  <c r="U17" i="1"/>
  <c r="R24" i="1"/>
  <c r="Y23" i="1"/>
  <c r="P23" i="1"/>
  <c r="U18" i="1" l="1"/>
  <c r="U20" i="1"/>
  <c r="R25" i="1"/>
  <c r="Y24" i="1"/>
  <c r="P24" i="1"/>
  <c r="T20" i="1"/>
  <c r="T16" i="1"/>
  <c r="O24" i="1" l="1"/>
  <c r="R26" i="1"/>
  <c r="Y25" i="1"/>
  <c r="Z25" i="1" s="1"/>
  <c r="P25" i="1"/>
  <c r="W21" i="1" l="1"/>
  <c r="S21" i="1" s="1"/>
  <c r="U21" i="1" s="1"/>
  <c r="W22" i="1"/>
  <c r="S22" i="1" s="1"/>
  <c r="W23" i="1"/>
  <c r="S23" i="1" s="1"/>
  <c r="W24" i="1"/>
  <c r="S24" i="1" s="1"/>
  <c r="W25" i="1"/>
  <c r="S25" i="1" s="1"/>
  <c r="R27" i="1"/>
  <c r="Y26" i="1"/>
  <c r="P26" i="1"/>
  <c r="AA25" i="1" l="1"/>
  <c r="T23" i="1"/>
  <c r="R28" i="1"/>
  <c r="Y27" i="1"/>
  <c r="P27" i="1"/>
  <c r="T22" i="1" l="1"/>
  <c r="T24" i="1"/>
  <c r="R29" i="1"/>
  <c r="Y28" i="1"/>
  <c r="P28" i="1"/>
  <c r="U22" i="1"/>
  <c r="U24" i="1"/>
  <c r="U25" i="1" l="1"/>
  <c r="U23" i="1"/>
  <c r="T21" i="1"/>
  <c r="T25" i="1"/>
  <c r="R30" i="1"/>
  <c r="Y29" i="1"/>
  <c r="P29" i="1"/>
  <c r="AA28" i="1" l="1"/>
  <c r="AB28" i="1" s="1"/>
  <c r="AC27" i="1" s="1"/>
  <c r="AC28" i="1" s="1"/>
  <c r="AC29" i="1" s="1"/>
  <c r="O25" i="1"/>
  <c r="O27" i="1" s="1"/>
  <c r="O28" i="1" s="1"/>
  <c r="O29" i="1" s="1"/>
  <c r="N30" i="1" s="1"/>
  <c r="O30" i="1" s="1"/>
  <c r="R31" i="1"/>
  <c r="Y30" i="1"/>
  <c r="P30" i="1"/>
  <c r="AC30" i="1" l="1"/>
  <c r="AC38" i="1" s="1"/>
  <c r="AC39" i="1" s="1"/>
  <c r="AC40" i="1" s="1"/>
  <c r="AC41" i="1" s="1"/>
  <c r="R32" i="1"/>
  <c r="Y31" i="1"/>
  <c r="P31" i="1"/>
  <c r="AC31" i="1" l="1"/>
  <c r="R33" i="1"/>
  <c r="Y32" i="1"/>
  <c r="P32" i="1"/>
  <c r="R34" i="1" l="1"/>
  <c r="Y33" i="1"/>
  <c r="P33" i="1"/>
  <c r="R35" i="1" l="1"/>
  <c r="Y34" i="1"/>
  <c r="P34" i="1"/>
  <c r="R36" i="1" l="1"/>
  <c r="Y35" i="1"/>
  <c r="P35" i="1"/>
  <c r="R37" i="1" l="1"/>
  <c r="Y36" i="1"/>
  <c r="P36" i="1"/>
  <c r="R38" i="1" l="1"/>
  <c r="Y37" i="1"/>
  <c r="P37" i="1"/>
  <c r="R39" i="1" l="1"/>
  <c r="Y38" i="1"/>
  <c r="P38" i="1"/>
  <c r="R40" i="1" l="1"/>
  <c r="Y39" i="1"/>
  <c r="P39" i="1"/>
  <c r="R41" i="1" l="1"/>
  <c r="Y40" i="1"/>
  <c r="P40" i="1"/>
  <c r="R42" i="1" l="1"/>
  <c r="Y41" i="1"/>
  <c r="P41" i="1"/>
  <c r="R43" i="1" l="1"/>
  <c r="Y42" i="1"/>
  <c r="W42" i="1" s="1"/>
  <c r="P42" i="1"/>
  <c r="T42" i="1" l="1"/>
  <c r="S42" i="1"/>
  <c r="R44" i="1"/>
  <c r="Y43" i="1"/>
  <c r="W43" i="1" s="1"/>
  <c r="P43" i="1"/>
  <c r="T43" i="1" l="1"/>
  <c r="S43" i="1"/>
  <c r="R45" i="1"/>
  <c r="Y44" i="1"/>
  <c r="W44" i="1" s="1"/>
  <c r="P44" i="1"/>
  <c r="T44" i="1" l="1"/>
  <c r="S44" i="1"/>
  <c r="R46" i="1"/>
  <c r="Y45" i="1"/>
  <c r="W45" i="1" s="1"/>
  <c r="P45" i="1"/>
  <c r="T45" i="1" l="1"/>
  <c r="S45" i="1"/>
  <c r="R47" i="1"/>
  <c r="Y46" i="1"/>
  <c r="W46" i="1" s="1"/>
  <c r="P46" i="1"/>
  <c r="T46" i="1" l="1"/>
  <c r="S46" i="1"/>
  <c r="R48" i="1"/>
  <c r="Y47" i="1"/>
  <c r="W47" i="1" s="1"/>
  <c r="P47" i="1"/>
  <c r="T47" i="1" l="1"/>
  <c r="S47" i="1"/>
  <c r="P48" i="1"/>
  <c r="Y48" i="1"/>
  <c r="W48" i="1" l="1"/>
  <c r="Z48" i="1"/>
  <c r="W28" i="1" l="1"/>
  <c r="S28" i="1" s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26" i="1"/>
  <c r="W27" i="1"/>
  <c r="T48" i="1"/>
  <c r="S48" i="1"/>
  <c r="T28" i="1" l="1"/>
  <c r="T35" i="1"/>
  <c r="S35" i="1"/>
  <c r="T31" i="1"/>
  <c r="S31" i="1"/>
  <c r="S41" i="1"/>
  <c r="T41" i="1"/>
  <c r="S40" i="1"/>
  <c r="T40" i="1"/>
  <c r="S30" i="1"/>
  <c r="T30" i="1"/>
  <c r="T32" i="1"/>
  <c r="S32" i="1"/>
  <c r="T39" i="1"/>
  <c r="S39" i="1"/>
  <c r="S38" i="1"/>
  <c r="T38" i="1"/>
  <c r="S37" i="1"/>
  <c r="T37" i="1"/>
  <c r="T29" i="1"/>
  <c r="S29" i="1"/>
  <c r="T34" i="1"/>
  <c r="S34" i="1"/>
  <c r="S33" i="1"/>
  <c r="T33" i="1"/>
  <c r="T36" i="1"/>
  <c r="S36" i="1"/>
  <c r="S27" i="1"/>
  <c r="T27" i="1"/>
  <c r="S26" i="1"/>
  <c r="T26" i="1"/>
  <c r="AA48" i="1" l="1"/>
</calcChain>
</file>

<file path=xl/sharedStrings.xml><?xml version="1.0" encoding="utf-8"?>
<sst xmlns="http://schemas.openxmlformats.org/spreadsheetml/2006/main" count="156" uniqueCount="105">
  <si>
    <t>Feet to Meters</t>
  </si>
  <si>
    <t>Meters to Feet</t>
  </si>
  <si>
    <t>1M = 3.2808'</t>
  </si>
  <si>
    <t>Meters</t>
  </si>
  <si>
    <t>Feet</t>
  </si>
  <si>
    <t xml:space="preserve">Feet   </t>
  </si>
  <si>
    <t>Depth</t>
  </si>
  <si>
    <t>Ratio Between Deco_Time &amp; Bottom_Time</t>
  </si>
  <si>
    <t>O2_Time</t>
  </si>
  <si>
    <t>Max Valid</t>
  </si>
  <si>
    <t>Bottom Time</t>
  </si>
  <si>
    <t>Global Ascent Profile</t>
  </si>
  <si>
    <t>Interval</t>
  </si>
  <si>
    <t>Total Time</t>
  </si>
  <si>
    <t>Interval 2:  21m to 9m (Nitrox 50)</t>
  </si>
  <si>
    <t>Interval 3:  36m to 24m</t>
  </si>
  <si>
    <t xml:space="preserve">Interval 4:  57m to 39m </t>
  </si>
  <si>
    <t>20 ft</t>
  </si>
  <si>
    <t>69-70 ft to 30'</t>
  </si>
  <si>
    <t>118 ft to 79-80 ft</t>
  </si>
  <si>
    <t>187 ft to 128 ft</t>
  </si>
  <si>
    <t>Global Ascent Times</t>
  </si>
  <si>
    <t>Int 1</t>
  </si>
  <si>
    <t>Int 2</t>
  </si>
  <si>
    <t>Int 3</t>
  </si>
  <si>
    <t>Int4</t>
  </si>
  <si>
    <t xml:space="preserve">Total Ascent Time: </t>
  </si>
  <si>
    <t>minutes</t>
  </si>
  <si>
    <t>Local Ascent Profile</t>
  </si>
  <si>
    <t>ft</t>
  </si>
  <si>
    <t>Max Deco Depth</t>
  </si>
  <si>
    <t>65% Max Depth</t>
  </si>
  <si>
    <t>3 ATA Depth</t>
  </si>
  <si>
    <t>Offgassing starts higher rate</t>
  </si>
  <si>
    <t>Deepest Stop Made</t>
  </si>
  <si>
    <t>Total Dive Time:</t>
  </si>
  <si>
    <t>Minutes</t>
  </si>
  <si>
    <t>Hours</t>
  </si>
  <si>
    <t>Ave Deep Stop Ft</t>
  </si>
  <si>
    <t>Ascent Rates</t>
  </si>
  <si>
    <t>Rate</t>
  </si>
  <si>
    <t>30 ft / min</t>
  </si>
  <si>
    <t>10 ft /min</t>
  </si>
  <si>
    <t>Interval1</t>
  </si>
  <si>
    <t>Stop Time</t>
  </si>
  <si>
    <t>Interval 2</t>
  </si>
  <si>
    <t>Interval 3</t>
  </si>
  <si>
    <t>Interval 4</t>
  </si>
  <si>
    <t>O2</t>
  </si>
  <si>
    <t>Nitrox 50</t>
  </si>
  <si>
    <t>Tri-Mix</t>
  </si>
  <si>
    <t>Deep Stop Times</t>
  </si>
  <si>
    <t>(Based on Max Deco Depth Method)</t>
  </si>
  <si>
    <t>&lt;NDL</t>
  </si>
  <si>
    <t>30 min</t>
  </si>
  <si>
    <t>60 min</t>
  </si>
  <si>
    <t>90 min</t>
  </si>
  <si>
    <t>120 min</t>
  </si>
  <si>
    <t>150 min</t>
  </si>
  <si>
    <t>Dive Deep Stop Time using 75% Method</t>
  </si>
  <si>
    <t>minute each stop above</t>
  </si>
  <si>
    <t>max deco stop depth</t>
  </si>
  <si>
    <t xml:space="preserve">Start Deco Depth (75%) </t>
  </si>
  <si>
    <t>Linier</t>
  </si>
  <si>
    <t>"S" Shape</t>
  </si>
  <si>
    <t>Interval 1:    6m (02)</t>
  </si>
  <si>
    <t>Exp</t>
  </si>
  <si>
    <t>Interp 02</t>
  </si>
  <si>
    <t>Delta</t>
  </si>
  <si>
    <t>Fraction</t>
  </si>
  <si>
    <t>Result</t>
  </si>
  <si>
    <t>Metric - English Conversions</t>
  </si>
  <si>
    <t>Deco Start  Depth for Local Ascent Profile</t>
  </si>
  <si>
    <t>VALID LIMITS: 120m &amp; Max O2 time 70 min</t>
  </si>
  <si>
    <t>Max</t>
  </si>
  <si>
    <t>70 min</t>
  </si>
  <si>
    <t>Interval Totals:</t>
  </si>
  <si>
    <t>Dive</t>
  </si>
  <si>
    <t>Dive Time</t>
  </si>
  <si>
    <t>Max Depth</t>
  </si>
  <si>
    <t>Ave Depth</t>
  </si>
  <si>
    <t>SAC</t>
  </si>
  <si>
    <t>Exertion</t>
  </si>
  <si>
    <t>Low</t>
  </si>
  <si>
    <t>Med</t>
  </si>
  <si>
    <t>Seconds</t>
  </si>
  <si>
    <t>DECO TIME</t>
  </si>
  <si>
    <t>TOTAL DIVE TIME</t>
  </si>
  <si>
    <t>Minutes total</t>
  </si>
  <si>
    <t xml:space="preserve">Minutes </t>
  </si>
  <si>
    <t>Start Deco Depth (2 ATA)</t>
  </si>
  <si>
    <t xml:space="preserve">Int 4 Time Stops </t>
  </si>
  <si>
    <t>190 ft to 130 ft</t>
  </si>
  <si>
    <t># Stops</t>
  </si>
  <si>
    <t>Depth &gt; 190</t>
  </si>
  <si>
    <t>Depth &lt; 190</t>
  </si>
  <si>
    <t>Ten foot Stop Times:</t>
  </si>
  <si>
    <t>Total Dive Time: (Minutes)</t>
  </si>
  <si>
    <t>Total Dive Time: (Hours)</t>
  </si>
  <si>
    <t>Total Dive Time: HH MM</t>
  </si>
  <si>
    <t>Expentional</t>
  </si>
  <si>
    <t>Gas Change Time (Optional)</t>
  </si>
  <si>
    <t>Add time to change Gas Bottle</t>
  </si>
  <si>
    <t>Minutes only at Depth Intervals</t>
  </si>
  <si>
    <t>Depth (AVE @ BT)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</si>
</sst>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EFEF7B"/>
        <bgColor indexed="64"/>
      </patternFill>
    </fill>
  </fills>
  <borders count="7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mediumDashed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Dashed">
        <color auto="1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 style="mediumDash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Dashed">
        <color auto="1"/>
      </top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auto="1"/>
      </bottom>
      <diagonal/>
    </border>
    <border>
      <left/>
      <right style="thick">
        <color rgb="FFFF0000"/>
      </right>
      <top style="thick">
        <color rgb="FFFF0000"/>
      </top>
      <bottom style="thick">
        <color auto="1"/>
      </bottom>
      <diagonal/>
    </border>
    <border>
      <left style="thick">
        <color rgb="FFFF0000"/>
      </left>
      <right/>
      <top style="thick">
        <color auto="1"/>
      </top>
      <bottom/>
      <diagonal/>
    </border>
    <border>
      <left/>
      <right style="thick">
        <color rgb="FFFF0000"/>
      </right>
      <top style="thick">
        <color auto="1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auto="1"/>
      </left>
      <right style="double">
        <color rgb="FFFF0000"/>
      </right>
      <top style="thick">
        <color auto="1"/>
      </top>
      <bottom/>
      <diagonal/>
    </border>
    <border>
      <left style="thick">
        <color auto="1"/>
      </left>
      <right style="double">
        <color rgb="FFFF0000"/>
      </right>
      <top/>
      <bottom style="thick">
        <color auto="1"/>
      </bottom>
      <diagonal/>
    </border>
    <border>
      <left/>
      <right style="double">
        <color rgb="FFFF0000"/>
      </right>
      <top style="thick">
        <color auto="1"/>
      </top>
      <bottom/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thick">
        <color auto="1"/>
      </bottom>
      <diagonal/>
    </border>
    <border>
      <left style="double">
        <color rgb="FFFF0000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rgb="FF00B0F0"/>
      </left>
      <right style="thick">
        <color auto="1"/>
      </right>
      <top/>
      <bottom style="thick">
        <color rgb="FF00B0F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0" fillId="2" borderId="1" xfId="0" applyFill="1" applyBorder="1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4" fillId="2" borderId="0" xfId="0" applyFont="1" applyFill="1"/>
    <xf numFmtId="0" fontId="9" fillId="2" borderId="2" xfId="0" applyFont="1" applyFill="1" applyBorder="1"/>
    <xf numFmtId="0" fontId="9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7" xfId="0" applyFont="1" applyBorder="1"/>
    <xf numFmtId="0" fontId="7" fillId="0" borderId="0" xfId="0" applyFont="1" applyBorder="1"/>
    <xf numFmtId="0" fontId="0" fillId="0" borderId="0" xfId="0" applyBorder="1"/>
    <xf numFmtId="0" fontId="4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2" borderId="0" xfId="0" applyFont="1" applyFill="1" applyBorder="1"/>
    <xf numFmtId="0" fontId="2" fillId="2" borderId="10" xfId="0" applyFont="1" applyFill="1" applyBorder="1"/>
    <xf numFmtId="0" fontId="0" fillId="2" borderId="4" xfId="0" applyFont="1" applyFill="1" applyBorder="1"/>
    <xf numFmtId="0" fontId="0" fillId="0" borderId="7" xfId="0" applyFont="1" applyBorder="1"/>
    <xf numFmtId="0" fontId="0" fillId="2" borderId="9" xfId="0" applyFont="1" applyFill="1" applyBorder="1"/>
    <xf numFmtId="0" fontId="0" fillId="0" borderId="9" xfId="0" applyFont="1" applyBorder="1"/>
    <xf numFmtId="9" fontId="2" fillId="0" borderId="0" xfId="0" applyNumberFormat="1" applyFont="1"/>
    <xf numFmtId="2" fontId="0" fillId="0" borderId="0" xfId="0" applyNumberFormat="1"/>
    <xf numFmtId="164" fontId="0" fillId="0" borderId="0" xfId="0" applyNumberFormat="1" applyBorder="1"/>
    <xf numFmtId="2" fontId="8" fillId="2" borderId="0" xfId="0" applyNumberFormat="1" applyFont="1" applyFill="1"/>
    <xf numFmtId="2" fontId="4" fillId="2" borderId="0" xfId="0" applyNumberFormat="1" applyFont="1" applyFill="1"/>
    <xf numFmtId="0" fontId="0" fillId="3" borderId="14" xfId="0" applyFill="1" applyBorder="1"/>
    <xf numFmtId="164" fontId="0" fillId="3" borderId="15" xfId="0" applyNumberFormat="1" applyFill="1" applyBorder="1"/>
    <xf numFmtId="0" fontId="0" fillId="3" borderId="15" xfId="0" applyFill="1" applyBorder="1"/>
    <xf numFmtId="164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164" fontId="0" fillId="3" borderId="19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0" xfId="0" applyFill="1" applyBorder="1"/>
    <xf numFmtId="0" fontId="0" fillId="5" borderId="24" xfId="0" applyFill="1" applyBorder="1"/>
    <xf numFmtId="0" fontId="4" fillId="6" borderId="28" xfId="0" applyFont="1" applyFill="1" applyBorder="1"/>
    <xf numFmtId="164" fontId="0" fillId="5" borderId="23" xfId="0" applyNumberFormat="1" applyFill="1" applyBorder="1"/>
    <xf numFmtId="164" fontId="0" fillId="5" borderId="25" xfId="0" applyNumberFormat="1" applyFill="1" applyBorder="1"/>
    <xf numFmtId="0" fontId="3" fillId="7" borderId="29" xfId="0" applyFont="1" applyFill="1" applyBorder="1"/>
    <xf numFmtId="0" fontId="3" fillId="7" borderId="30" xfId="0" applyFont="1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0" fillId="7" borderId="1" xfId="0" applyFill="1" applyBorder="1"/>
    <xf numFmtId="165" fontId="4" fillId="7" borderId="1" xfId="0" applyNumberFormat="1" applyFont="1" applyFill="1" applyBorder="1"/>
    <xf numFmtId="165" fontId="4" fillId="7" borderId="2" xfId="0" applyNumberFormat="1" applyFont="1" applyFill="1" applyBorder="1"/>
    <xf numFmtId="0" fontId="0" fillId="0" borderId="34" xfId="0" applyBorder="1"/>
    <xf numFmtId="0" fontId="0" fillId="7" borderId="35" xfId="0" applyFill="1" applyBorder="1"/>
    <xf numFmtId="164" fontId="10" fillId="5" borderId="0" xfId="0" applyNumberFormat="1" applyFont="1" applyFill="1" applyBorder="1"/>
    <xf numFmtId="164" fontId="10" fillId="5" borderId="26" xfId="0" applyNumberFormat="1" applyFont="1" applyFill="1" applyBorder="1"/>
    <xf numFmtId="0" fontId="1" fillId="5" borderId="24" xfId="0" applyFont="1" applyFill="1" applyBorder="1"/>
    <xf numFmtId="0" fontId="1" fillId="5" borderId="27" xfId="0" applyFont="1" applyFill="1" applyBorder="1"/>
    <xf numFmtId="0" fontId="11" fillId="0" borderId="0" xfId="0" applyFont="1"/>
    <xf numFmtId="0" fontId="12" fillId="2" borderId="0" xfId="0" applyFont="1" applyFill="1"/>
    <xf numFmtId="0" fontId="0" fillId="2" borderId="0" xfId="0" applyFill="1"/>
    <xf numFmtId="0" fontId="0" fillId="2" borderId="2" xfId="0" applyFill="1" applyBorder="1"/>
    <xf numFmtId="164" fontId="4" fillId="2" borderId="36" xfId="0" applyNumberFormat="1" applyFont="1" applyFill="1" applyBorder="1"/>
    <xf numFmtId="0" fontId="0" fillId="8" borderId="37" xfId="0" applyFill="1" applyBorder="1"/>
    <xf numFmtId="0" fontId="0" fillId="8" borderId="38" xfId="0" applyFill="1" applyBorder="1"/>
    <xf numFmtId="164" fontId="0" fillId="0" borderId="8" xfId="0" applyNumberFormat="1" applyBorder="1"/>
    <xf numFmtId="2" fontId="9" fillId="2" borderId="39" xfId="0" applyNumberFormat="1" applyFont="1" applyFill="1" applyBorder="1"/>
    <xf numFmtId="0" fontId="9" fillId="2" borderId="40" xfId="0" applyFont="1" applyFill="1" applyBorder="1"/>
    <xf numFmtId="2" fontId="8" fillId="0" borderId="41" xfId="0" applyNumberFormat="1" applyFont="1" applyBorder="1"/>
    <xf numFmtId="0" fontId="5" fillId="0" borderId="42" xfId="0" applyFont="1" applyBorder="1"/>
    <xf numFmtId="164" fontId="8" fillId="0" borderId="43" xfId="0" applyNumberFormat="1" applyFont="1" applyBorder="1"/>
    <xf numFmtId="0" fontId="5" fillId="0" borderId="44" xfId="0" applyFont="1" applyBorder="1"/>
    <xf numFmtId="0" fontId="4" fillId="2" borderId="0" xfId="0" applyFont="1" applyFill="1" applyBorder="1"/>
    <xf numFmtId="0" fontId="4" fillId="2" borderId="10" xfId="0" applyFont="1" applyFill="1" applyBorder="1"/>
    <xf numFmtId="0" fontId="4" fillId="2" borderId="45" xfId="0" applyFont="1" applyFill="1" applyBorder="1"/>
    <xf numFmtId="0" fontId="0" fillId="0" borderId="46" xfId="0" applyBorder="1"/>
    <xf numFmtId="0" fontId="0" fillId="0" borderId="47" xfId="0" applyBorder="1"/>
    <xf numFmtId="2" fontId="0" fillId="0" borderId="43" xfId="0" applyNumberFormat="1" applyBorder="1"/>
    <xf numFmtId="0" fontId="0" fillId="0" borderId="48" xfId="0" applyBorder="1"/>
    <xf numFmtId="0" fontId="0" fillId="0" borderId="44" xfId="0" applyBorder="1"/>
    <xf numFmtId="164" fontId="13" fillId="10" borderId="6" xfId="0" applyNumberFormat="1" applyFont="1" applyFill="1" applyBorder="1"/>
    <xf numFmtId="164" fontId="13" fillId="3" borderId="8" xfId="0" applyNumberFormat="1" applyFont="1" applyFill="1" applyBorder="1"/>
    <xf numFmtId="164" fontId="13" fillId="3" borderId="6" xfId="0" applyNumberFormat="1" applyFont="1" applyFill="1" applyBorder="1"/>
    <xf numFmtId="164" fontId="13" fillId="3" borderId="49" xfId="0" applyNumberFormat="1" applyFont="1" applyFill="1" applyBorder="1"/>
    <xf numFmtId="164" fontId="13" fillId="3" borderId="50" xfId="0" applyNumberFormat="1" applyFont="1" applyFill="1" applyBorder="1"/>
    <xf numFmtId="164" fontId="14" fillId="11" borderId="8" xfId="0" applyNumberFormat="1" applyFont="1" applyFill="1" applyBorder="1"/>
    <xf numFmtId="164" fontId="14" fillId="11" borderId="5" xfId="0" applyNumberFormat="1" applyFont="1" applyFill="1" applyBorder="1"/>
    <xf numFmtId="164" fontId="4" fillId="12" borderId="6" xfId="0" applyNumberFormat="1" applyFont="1" applyFill="1" applyBorder="1"/>
    <xf numFmtId="164" fontId="14" fillId="11" borderId="6" xfId="0" applyNumberFormat="1" applyFont="1" applyFill="1" applyBorder="1"/>
    <xf numFmtId="0" fontId="4" fillId="12" borderId="51" xfId="0" applyFont="1" applyFill="1" applyBorder="1"/>
    <xf numFmtId="0" fontId="4" fillId="12" borderId="52" xfId="0" applyFont="1" applyFill="1" applyBorder="1"/>
    <xf numFmtId="0" fontId="0" fillId="9" borderId="53" xfId="0" applyFill="1" applyBorder="1"/>
    <xf numFmtId="0" fontId="0" fillId="9" borderId="54" xfId="0" applyFill="1" applyBorder="1"/>
    <xf numFmtId="0" fontId="0" fillId="9" borderId="55" xfId="0" applyFill="1" applyBorder="1"/>
    <xf numFmtId="164" fontId="14" fillId="11" borderId="56" xfId="0" applyNumberFormat="1" applyFont="1" applyFill="1" applyBorder="1"/>
    <xf numFmtId="164" fontId="5" fillId="0" borderId="0" xfId="0" applyNumberFormat="1" applyFont="1"/>
    <xf numFmtId="0" fontId="15" fillId="2" borderId="0" xfId="0" applyFont="1" applyFill="1" applyAlignment="1">
      <alignment horizontal="center"/>
    </xf>
    <xf numFmtId="0" fontId="16" fillId="0" borderId="0" xfId="0" applyFont="1"/>
    <xf numFmtId="2" fontId="15" fillId="2" borderId="0" xfId="0" applyNumberFormat="1" applyFont="1" applyFill="1" applyAlignment="1">
      <alignment horizontal="center"/>
    </xf>
    <xf numFmtId="2" fontId="16" fillId="0" borderId="0" xfId="0" applyNumberFormat="1" applyFont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4" fillId="2" borderId="60" xfId="0" applyFont="1" applyFill="1" applyBorder="1"/>
    <xf numFmtId="0" fontId="0" fillId="0" borderId="61" xfId="0" applyBorder="1"/>
    <xf numFmtId="0" fontId="0" fillId="0" borderId="62" xfId="0" applyBorder="1"/>
    <xf numFmtId="0" fontId="1" fillId="0" borderId="60" xfId="0" applyFont="1" applyBorder="1"/>
    <xf numFmtId="0" fontId="1" fillId="0" borderId="61" xfId="0" applyFont="1" applyBorder="1"/>
    <xf numFmtId="0" fontId="0" fillId="0" borderId="60" xfId="0" applyBorder="1"/>
    <xf numFmtId="0" fontId="4" fillId="2" borderId="61" xfId="0" applyFont="1" applyFill="1" applyBorder="1"/>
    <xf numFmtId="2" fontId="0" fillId="0" borderId="60" xfId="0" applyNumberFormat="1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164" fontId="0" fillId="0" borderId="66" xfId="0" applyNumberFormat="1" applyBorder="1"/>
    <xf numFmtId="0" fontId="0" fillId="0" borderId="45" xfId="0" applyBorder="1"/>
    <xf numFmtId="0" fontId="4" fillId="0" borderId="46" xfId="0" applyFont="1" applyBorder="1"/>
    <xf numFmtId="0" fontId="0" fillId="0" borderId="68" xfId="0" applyBorder="1"/>
    <xf numFmtId="2" fontId="4" fillId="2" borderId="69" xfId="0" applyNumberFormat="1" applyFont="1" applyFill="1" applyBorder="1"/>
    <xf numFmtId="0" fontId="6" fillId="0" borderId="68" xfId="0" applyFont="1" applyBorder="1"/>
    <xf numFmtId="164" fontId="0" fillId="0" borderId="69" xfId="0" applyNumberFormat="1" applyBorder="1"/>
    <xf numFmtId="2" fontId="0" fillId="0" borderId="69" xfId="0" applyNumberFormat="1" applyBorder="1"/>
    <xf numFmtId="0" fontId="6" fillId="0" borderId="43" xfId="0" applyFont="1" applyBorder="1"/>
    <xf numFmtId="2" fontId="4" fillId="2" borderId="48" xfId="0" applyNumberFormat="1" applyFont="1" applyFill="1" applyBorder="1"/>
    <xf numFmtId="2" fontId="4" fillId="2" borderId="44" xfId="0" applyNumberFormat="1" applyFont="1" applyFill="1" applyBorder="1"/>
    <xf numFmtId="164" fontId="0" fillId="14" borderId="8" xfId="0" applyNumberFormat="1" applyFill="1" applyBorder="1"/>
    <xf numFmtId="164" fontId="0" fillId="13" borderId="37" xfId="0" applyNumberFormat="1" applyFill="1" applyBorder="1"/>
    <xf numFmtId="164" fontId="0" fillId="13" borderId="34" xfId="0" applyNumberFormat="1" applyFill="1" applyBorder="1"/>
    <xf numFmtId="164" fontId="0" fillId="13" borderId="38" xfId="0" applyNumberFormat="1" applyFill="1" applyBorder="1"/>
    <xf numFmtId="164" fontId="0" fillId="7" borderId="6" xfId="0" applyNumberFormat="1" applyFill="1" applyBorder="1"/>
    <xf numFmtId="164" fontId="0" fillId="7" borderId="8" xfId="0" applyNumberFormat="1" applyFill="1" applyBorder="1"/>
    <xf numFmtId="0" fontId="2" fillId="2" borderId="67" xfId="0" applyFont="1" applyFill="1" applyBorder="1"/>
    <xf numFmtId="0" fontId="2" fillId="0" borderId="47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EF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EFFF-4F1A-443D-93C1-61211D4397D5}">
  <dimension ref="A1:AE49"/>
  <sheetViews>
    <sheetView tabSelected="1" zoomScale="78" zoomScaleNormal="7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9" sqref="G9"/>
    </sheetView>
  </sheetViews>
  <sheetFormatPr defaultRowHeight="14.25" x14ac:dyDescent="0.45"/>
  <cols>
    <col min="5" max="5" width="9.59765625" customWidth="1"/>
    <col min="19" max="19" width="10.265625" customWidth="1"/>
    <col min="21" max="21" width="9.86328125" customWidth="1"/>
    <col min="22" max="22" width="10" customWidth="1"/>
    <col min="26" max="26" width="10.59765625" customWidth="1"/>
  </cols>
  <sheetData>
    <row r="1" spans="1:29" ht="18.399999999999999" thickBot="1" x14ac:dyDescent="0.6">
      <c r="D1" s="68" t="s">
        <v>71</v>
      </c>
      <c r="K1" s="69" t="s">
        <v>73</v>
      </c>
      <c r="L1" s="70"/>
      <c r="M1" s="70"/>
      <c r="N1" s="70"/>
      <c r="O1" s="70"/>
    </row>
    <row r="2" spans="1:29" ht="15" thickTop="1" thickBot="1" x14ac:dyDescent="0.5">
      <c r="A2" s="53" t="s">
        <v>0</v>
      </c>
      <c r="B2" s="54"/>
      <c r="C2" s="54"/>
      <c r="D2" s="54"/>
      <c r="E2" s="62"/>
      <c r="F2" s="54" t="s">
        <v>1</v>
      </c>
      <c r="G2" s="54"/>
      <c r="H2" s="55" t="s">
        <v>2</v>
      </c>
      <c r="I2" s="56"/>
      <c r="Q2" s="5"/>
      <c r="T2" s="44"/>
      <c r="U2" s="45" t="s">
        <v>39</v>
      </c>
      <c r="V2" s="46"/>
    </row>
    <row r="3" spans="1:29" ht="15" thickTop="1" thickBot="1" x14ac:dyDescent="0.5">
      <c r="A3" s="57" t="s">
        <v>5</v>
      </c>
      <c r="B3" s="59">
        <v>15</v>
      </c>
      <c r="C3" s="58" t="s">
        <v>3</v>
      </c>
      <c r="D3" s="61">
        <f>B3/3.2808</f>
        <v>4.5720555961960496</v>
      </c>
      <c r="E3" s="63"/>
      <c r="F3" s="58" t="s">
        <v>3</v>
      </c>
      <c r="G3" s="59">
        <v>9</v>
      </c>
      <c r="H3" s="58" t="s">
        <v>4</v>
      </c>
      <c r="I3" s="60">
        <f>G3*3.2808</f>
        <v>29.527200000000001</v>
      </c>
      <c r="T3" s="47"/>
      <c r="U3" s="48" t="s">
        <v>6</v>
      </c>
      <c r="V3" s="49" t="s">
        <v>40</v>
      </c>
    </row>
    <row r="4" spans="1:29" x14ac:dyDescent="0.45">
      <c r="T4" s="51">
        <f>I8</f>
        <v>230</v>
      </c>
      <c r="U4" s="64">
        <f>N8</f>
        <v>172.5</v>
      </c>
      <c r="V4" s="66" t="s">
        <v>41</v>
      </c>
    </row>
    <row r="5" spans="1:29" ht="14.65" thickBot="1" x14ac:dyDescent="0.5">
      <c r="N5" s="3" t="s">
        <v>72</v>
      </c>
      <c r="O5" s="3"/>
      <c r="P5" s="3"/>
      <c r="Q5" s="3"/>
      <c r="T5" s="51">
        <f>U4</f>
        <v>172.5</v>
      </c>
      <c r="U5" s="64">
        <f>S8</f>
        <v>140.75</v>
      </c>
      <c r="V5" s="66" t="str">
        <f>V4</f>
        <v>30 ft / min</v>
      </c>
    </row>
    <row r="6" spans="1:29" ht="15" thickTop="1" thickBot="1" x14ac:dyDescent="0.5">
      <c r="B6" s="7" t="s">
        <v>7</v>
      </c>
      <c r="C6" s="3"/>
      <c r="D6" s="3"/>
      <c r="E6" s="3"/>
      <c r="G6" s="13"/>
      <c r="H6" s="14"/>
      <c r="I6" s="14"/>
      <c r="J6" s="14"/>
      <c r="K6" s="14"/>
      <c r="L6" s="14"/>
      <c r="M6" s="14" t="s">
        <v>33</v>
      </c>
      <c r="N6" s="14"/>
      <c r="O6" s="14"/>
      <c r="P6" s="14"/>
      <c r="Q6" s="14" t="s">
        <v>34</v>
      </c>
      <c r="R6" s="15"/>
      <c r="T6" s="52">
        <f>U5</f>
        <v>140.75</v>
      </c>
      <c r="U6" s="65">
        <v>20</v>
      </c>
      <c r="V6" s="67" t="s">
        <v>42</v>
      </c>
    </row>
    <row r="7" spans="1:29" ht="15" thickTop="1" thickBot="1" x14ac:dyDescent="0.5">
      <c r="B7" s="3" t="s">
        <v>6</v>
      </c>
      <c r="D7" s="3" t="s">
        <v>8</v>
      </c>
      <c r="E7" s="71">
        <f>IF(I8&lt;=C9,D9,IF(I8&lt;=C10,D10,IF(I8&lt;=C11,D11,IF(I8&lt;=C12,D12,IF(I8&lt;=C13,D13,IF(I8&gt;C13,D14,D14))))))</f>
        <v>36</v>
      </c>
      <c r="F7" s="73" t="s">
        <v>74</v>
      </c>
      <c r="G7" s="16" t="s">
        <v>10</v>
      </c>
      <c r="H7" s="17"/>
      <c r="I7" s="2">
        <v>30</v>
      </c>
      <c r="J7" s="18"/>
      <c r="K7" s="19" t="s">
        <v>28</v>
      </c>
      <c r="L7" s="18"/>
      <c r="M7" s="18"/>
      <c r="N7" s="18"/>
      <c r="O7" s="18"/>
      <c r="P7" s="19" t="s">
        <v>30</v>
      </c>
      <c r="Q7" s="18"/>
      <c r="R7" s="20"/>
    </row>
    <row r="8" spans="1:29" ht="15" thickTop="1" thickBot="1" x14ac:dyDescent="0.5">
      <c r="B8" s="4" t="s">
        <v>3</v>
      </c>
      <c r="C8" s="4" t="s">
        <v>4</v>
      </c>
      <c r="D8" s="50" t="s">
        <v>67</v>
      </c>
      <c r="E8" s="72">
        <f>SUM(E16:E22)</f>
        <v>34.041940990002438</v>
      </c>
      <c r="F8" s="74" t="s">
        <v>75</v>
      </c>
      <c r="G8" s="16" t="s">
        <v>104</v>
      </c>
      <c r="H8" s="17"/>
      <c r="I8" s="2">
        <v>230</v>
      </c>
      <c r="J8" s="31">
        <f>I8*0.304804</f>
        <v>70.104920000000007</v>
      </c>
      <c r="K8" s="18" t="s">
        <v>62</v>
      </c>
      <c r="L8" s="18"/>
      <c r="M8" s="18"/>
      <c r="N8" s="23">
        <f>I8*0.75</f>
        <v>172.5</v>
      </c>
      <c r="O8" s="23" t="s">
        <v>29</v>
      </c>
      <c r="P8" s="18" t="s">
        <v>31</v>
      </c>
      <c r="Q8" s="18"/>
      <c r="R8" s="82">
        <f>I8*0.65</f>
        <v>149.5</v>
      </c>
      <c r="S8" s="84">
        <f>(R8+R9)/2</f>
        <v>140.75</v>
      </c>
      <c r="T8" s="85" t="s">
        <v>38</v>
      </c>
      <c r="U8" s="86"/>
    </row>
    <row r="9" spans="1:29" ht="15" thickTop="1" thickBot="1" x14ac:dyDescent="0.5">
      <c r="B9">
        <v>45</v>
      </c>
      <c r="C9" s="5">
        <f>B9*3.2808</f>
        <v>147.636</v>
      </c>
      <c r="D9" s="9">
        <f>I7*0.5</f>
        <v>15</v>
      </c>
      <c r="G9" s="21"/>
      <c r="H9" s="22"/>
      <c r="I9" s="22"/>
      <c r="J9" s="22"/>
      <c r="K9" s="22" t="s">
        <v>90</v>
      </c>
      <c r="L9" s="22"/>
      <c r="M9" s="22"/>
      <c r="N9" s="24">
        <f>I8-66</f>
        <v>164</v>
      </c>
      <c r="O9" s="24" t="s">
        <v>29</v>
      </c>
      <c r="P9" s="22" t="s">
        <v>32</v>
      </c>
      <c r="Q9" s="22"/>
      <c r="R9" s="83">
        <f>I8-98</f>
        <v>132</v>
      </c>
      <c r="S9" s="87">
        <f>S8*0.304804</f>
        <v>42.901163000000004</v>
      </c>
      <c r="T9" s="88" t="s">
        <v>3</v>
      </c>
      <c r="U9" s="89"/>
    </row>
    <row r="10" spans="1:29" ht="14.65" thickTop="1" x14ac:dyDescent="0.45">
      <c r="B10">
        <v>60</v>
      </c>
      <c r="C10" s="5">
        <f t="shared" ref="C10:C14" si="0">B10*3.2808</f>
        <v>196.84800000000001</v>
      </c>
      <c r="D10" s="9">
        <f>I7</f>
        <v>30</v>
      </c>
    </row>
    <row r="11" spans="1:29" x14ac:dyDescent="0.45">
      <c r="B11">
        <v>75</v>
      </c>
      <c r="C11" s="5">
        <f t="shared" si="0"/>
        <v>246.06</v>
      </c>
      <c r="D11" s="9">
        <f>I7*1.2</f>
        <v>36</v>
      </c>
    </row>
    <row r="12" spans="1:29" x14ac:dyDescent="0.45">
      <c r="B12">
        <v>90</v>
      </c>
      <c r="C12" s="5">
        <f t="shared" si="0"/>
        <v>295.27199999999999</v>
      </c>
      <c r="D12" s="9">
        <f>I7*1.5</f>
        <v>45</v>
      </c>
      <c r="G12" s="7" t="s">
        <v>11</v>
      </c>
      <c r="H12" s="7"/>
      <c r="N12" s="1" t="s">
        <v>100</v>
      </c>
      <c r="S12" s="8" t="s">
        <v>63</v>
      </c>
      <c r="T12" s="8" t="s">
        <v>66</v>
      </c>
      <c r="U12" s="8" t="s">
        <v>64</v>
      </c>
    </row>
    <row r="13" spans="1:29" ht="14.65" thickBot="1" x14ac:dyDescent="0.5">
      <c r="B13">
        <v>105</v>
      </c>
      <c r="C13" s="5">
        <f t="shared" si="0"/>
        <v>344.48400000000004</v>
      </c>
      <c r="D13" s="9">
        <f>I7*2.2</f>
        <v>66</v>
      </c>
      <c r="G13" s="8" t="s">
        <v>12</v>
      </c>
      <c r="H13" s="8"/>
      <c r="J13" s="8" t="s">
        <v>13</v>
      </c>
      <c r="M13" s="8" t="s">
        <v>21</v>
      </c>
      <c r="N13" s="8"/>
      <c r="P13" t="s">
        <v>3</v>
      </c>
      <c r="R13" s="3" t="s">
        <v>6</v>
      </c>
      <c r="S13" s="3" t="s">
        <v>44</v>
      </c>
      <c r="T13" s="3"/>
    </row>
    <row r="14" spans="1:29" ht="15" thickTop="1" thickBot="1" x14ac:dyDescent="0.5">
      <c r="A14" t="s">
        <v>9</v>
      </c>
      <c r="B14">
        <v>120</v>
      </c>
      <c r="C14" s="5">
        <f t="shared" si="0"/>
        <v>393.69600000000003</v>
      </c>
      <c r="D14" s="9">
        <f>I7*3</f>
        <v>90</v>
      </c>
      <c r="G14" t="s">
        <v>65</v>
      </c>
      <c r="J14" s="32">
        <f>E7</f>
        <v>36</v>
      </c>
      <c r="K14" t="s">
        <v>17</v>
      </c>
      <c r="M14" t="s">
        <v>22</v>
      </c>
      <c r="N14" s="33">
        <f>IF(I8&gt;=20,E8,0)</f>
        <v>34.041940990002438</v>
      </c>
      <c r="P14" s="30">
        <f>R14*0.304804</f>
        <v>3.0480400000000003</v>
      </c>
      <c r="Q14" s="25" t="s">
        <v>43</v>
      </c>
      <c r="R14" s="99">
        <v>10</v>
      </c>
      <c r="S14" s="97">
        <f>$N$14*0.66666</f>
        <v>22.694400380395027</v>
      </c>
      <c r="T14" s="97">
        <f>$N$14*0.66666</f>
        <v>22.694400380395027</v>
      </c>
      <c r="U14" s="97">
        <f>$N$14*0.66666</f>
        <v>22.694400380395027</v>
      </c>
      <c r="V14" s="10" t="s">
        <v>48</v>
      </c>
      <c r="Y14">
        <f t="shared" ref="Y14:Y20" si="1">IF((R14-$S$8)&gt;$S$8, 0, 1)</f>
        <v>1</v>
      </c>
      <c r="AA14" s="8" t="s">
        <v>63</v>
      </c>
      <c r="AB14" s="8" t="s">
        <v>66</v>
      </c>
      <c r="AC14" s="8" t="s">
        <v>64</v>
      </c>
    </row>
    <row r="15" spans="1:29" ht="15" thickTop="1" thickBot="1" x14ac:dyDescent="0.5">
      <c r="B15" s="41" t="s">
        <v>3</v>
      </c>
      <c r="C15" s="42" t="s">
        <v>68</v>
      </c>
      <c r="D15" s="42" t="s">
        <v>69</v>
      </c>
      <c r="E15" s="43" t="s">
        <v>70</v>
      </c>
      <c r="G15" t="s">
        <v>14</v>
      </c>
      <c r="J15" s="32">
        <f>E8</f>
        <v>34.041940990002438</v>
      </c>
      <c r="K15" t="s">
        <v>18</v>
      </c>
      <c r="M15" t="s">
        <v>23</v>
      </c>
      <c r="N15" s="33">
        <f>IF(I8&gt;=70,J15,0)</f>
        <v>34.041940990002438</v>
      </c>
      <c r="P15" s="30">
        <f t="shared" ref="P15:P48" si="2">R15*0.304804</f>
        <v>6.0960800000000006</v>
      </c>
      <c r="Q15" s="28"/>
      <c r="R15" s="100">
        <f>R14+10</f>
        <v>20</v>
      </c>
      <c r="S15" s="97">
        <f>$N$14*0.333333333</f>
        <v>11.347313651986832</v>
      </c>
      <c r="T15" s="97">
        <f>$N$14*0.333333333</f>
        <v>11.347313651986832</v>
      </c>
      <c r="U15" s="97">
        <f>$N$14*0.333333333</f>
        <v>11.347313651986832</v>
      </c>
      <c r="V15" s="8"/>
      <c r="Y15">
        <f t="shared" si="1"/>
        <v>1</v>
      </c>
      <c r="Z15">
        <f>SUM(Y14:Y15)</f>
        <v>2</v>
      </c>
    </row>
    <row r="16" spans="1:29" ht="15" thickTop="1" thickBot="1" x14ac:dyDescent="0.5">
      <c r="B16" s="34">
        <v>0</v>
      </c>
      <c r="C16" s="35">
        <f>D9</f>
        <v>15</v>
      </c>
      <c r="D16" s="36">
        <f>IF(AND($I$8&gt;0,$I$8&lt;C9),$I$8/147.636,0)</f>
        <v>0</v>
      </c>
      <c r="E16" s="37">
        <f>IF(D16&gt;0,D16*C16+0,0)</f>
        <v>0</v>
      </c>
      <c r="G16" t="s">
        <v>15</v>
      </c>
      <c r="J16" s="32">
        <f>E8/2</f>
        <v>17.020970495001219</v>
      </c>
      <c r="K16" t="s">
        <v>19</v>
      </c>
      <c r="M16" t="s">
        <v>24</v>
      </c>
      <c r="N16" s="33">
        <f>IF(I8&gt;=118,J16,0)</f>
        <v>17.020970495001219</v>
      </c>
      <c r="P16" s="30">
        <f t="shared" si="2"/>
        <v>9.1441200000000009</v>
      </c>
      <c r="Q16" s="25" t="s">
        <v>45</v>
      </c>
      <c r="R16" s="101">
        <f t="shared" ref="R16:R48" si="3">R15+10</f>
        <v>30</v>
      </c>
      <c r="S16" s="104">
        <f>W16</f>
        <v>6.8083881980004879</v>
      </c>
      <c r="T16" s="90">
        <f>INT(T19) + T18</f>
        <v>9.8083881980004879</v>
      </c>
      <c r="U16" s="139">
        <f>INT(SUM(S16:S20)/3) +E25</f>
        <v>11</v>
      </c>
      <c r="V16" s="9" t="s">
        <v>49</v>
      </c>
      <c r="W16" s="5">
        <f>IF(Y16=1, $N$15/$Z$20, 0)</f>
        <v>6.8083881980004879</v>
      </c>
      <c r="Y16">
        <f t="shared" si="1"/>
        <v>1</v>
      </c>
    </row>
    <row r="17" spans="2:31" ht="14.65" thickBot="1" x14ac:dyDescent="0.5">
      <c r="B17" s="34">
        <v>45</v>
      </c>
      <c r="C17" s="36">
        <f>D10-D9</f>
        <v>15</v>
      </c>
      <c r="D17" s="36">
        <f>IF(AND($I$8&gt;C9,$I$8&lt;=C10),($I$8-C9)/49.212,0)</f>
        <v>0</v>
      </c>
      <c r="E17" s="37">
        <f>IF(D17&gt;0,D17*C17+D9,0)</f>
        <v>0</v>
      </c>
      <c r="G17" t="s">
        <v>16</v>
      </c>
      <c r="J17" s="32">
        <f>E8/4</f>
        <v>8.5104852475006094</v>
      </c>
      <c r="K17" t="s">
        <v>20</v>
      </c>
      <c r="M17" t="s">
        <v>25</v>
      </c>
      <c r="N17" s="33">
        <f>IF(I8&gt;118,J17,0)</f>
        <v>8.5104852475006094</v>
      </c>
      <c r="P17" s="30">
        <f t="shared" si="2"/>
        <v>12.192160000000001</v>
      </c>
      <c r="Q17" s="26"/>
      <c r="R17" s="102">
        <f t="shared" si="3"/>
        <v>40</v>
      </c>
      <c r="S17" s="95">
        <f t="shared" ref="S17:S48" si="4">W17</f>
        <v>6.8083881980004879</v>
      </c>
      <c r="T17" s="91">
        <f>T18 + INT(T18/2)</f>
        <v>9.8083881980004879</v>
      </c>
      <c r="U17" s="140">
        <f>U16 - INT(U16/2)</f>
        <v>6</v>
      </c>
      <c r="V17" s="8"/>
      <c r="W17" s="5">
        <f t="shared" ref="W17:W20" si="5">IF(Y17=1, $N$15/$Z$20, 0)</f>
        <v>6.8083881980004879</v>
      </c>
      <c r="Y17">
        <f t="shared" si="1"/>
        <v>1</v>
      </c>
    </row>
    <row r="18" spans="2:31" ht="15" thickTop="1" thickBot="1" x14ac:dyDescent="0.5">
      <c r="B18" s="34">
        <v>60</v>
      </c>
      <c r="C18" s="35">
        <f>D11-D10</f>
        <v>6</v>
      </c>
      <c r="D18" s="36">
        <f t="shared" ref="D18:D22" si="6">IF(AND($I$8&gt;C10,$I$8&lt;=C11),($I$8-C10)/49.212,0)</f>
        <v>0.6736568316670728</v>
      </c>
      <c r="E18" s="37">
        <f t="shared" ref="E18:E22" si="7">IF(D18&gt;0,D18*C18+D10,0)</f>
        <v>34.041940990002438</v>
      </c>
      <c r="L18" s="6" t="s">
        <v>26</v>
      </c>
      <c r="N18" s="76">
        <f>SUM(N14:N17)</f>
        <v>93.615337722506709</v>
      </c>
      <c r="O18" s="77" t="s">
        <v>27</v>
      </c>
      <c r="P18" s="30">
        <f t="shared" si="2"/>
        <v>15.240200000000002</v>
      </c>
      <c r="Q18" s="26"/>
      <c r="R18" s="102">
        <f t="shared" si="3"/>
        <v>50</v>
      </c>
      <c r="S18" s="95">
        <f t="shared" si="4"/>
        <v>6.8083881980004879</v>
      </c>
      <c r="T18" s="91">
        <f>SUM(S16:S20)/5</f>
        <v>6.8083881980004879</v>
      </c>
      <c r="U18" s="140">
        <f>U17  - INT(U17/2)</f>
        <v>3</v>
      </c>
      <c r="V18" s="8"/>
      <c r="W18" s="5">
        <f t="shared" si="5"/>
        <v>6.8083881980004879</v>
      </c>
      <c r="Y18">
        <f t="shared" si="1"/>
        <v>1</v>
      </c>
    </row>
    <row r="19" spans="2:31" ht="15" thickTop="1" thickBot="1" x14ac:dyDescent="0.5">
      <c r="B19" s="34">
        <v>75</v>
      </c>
      <c r="C19" s="36">
        <f>D10-D9</f>
        <v>15</v>
      </c>
      <c r="D19" s="36">
        <f t="shared" si="6"/>
        <v>0</v>
      </c>
      <c r="E19" s="37">
        <f t="shared" si="7"/>
        <v>0</v>
      </c>
      <c r="L19" s="6" t="s">
        <v>35</v>
      </c>
      <c r="N19" s="78">
        <f>N18+I7</f>
        <v>123.61533772250671</v>
      </c>
      <c r="O19" s="79" t="s">
        <v>36</v>
      </c>
      <c r="P19" s="30">
        <f t="shared" si="2"/>
        <v>18.288240000000002</v>
      </c>
      <c r="Q19" s="26"/>
      <c r="R19" s="102">
        <f t="shared" si="3"/>
        <v>60</v>
      </c>
      <c r="S19" s="95">
        <f t="shared" si="4"/>
        <v>6.8083881980004879</v>
      </c>
      <c r="T19" s="91">
        <f>T18 - INT(T18/2)</f>
        <v>3.8083881980004879</v>
      </c>
      <c r="U19" s="140">
        <f>U16 + INT(U16/2)</f>
        <v>16</v>
      </c>
      <c r="V19" s="8"/>
      <c r="W19" s="5">
        <f t="shared" si="5"/>
        <v>6.8083881980004879</v>
      </c>
      <c r="Y19">
        <f t="shared" si="1"/>
        <v>1</v>
      </c>
    </row>
    <row r="20" spans="2:31" ht="14.65" thickBot="1" x14ac:dyDescent="0.5">
      <c r="B20" s="34">
        <v>90</v>
      </c>
      <c r="C20" s="36">
        <f>D12-D11</f>
        <v>9</v>
      </c>
      <c r="D20" s="36">
        <f t="shared" si="6"/>
        <v>0</v>
      </c>
      <c r="E20" s="37">
        <f t="shared" si="7"/>
        <v>0</v>
      </c>
      <c r="N20" s="80">
        <f>N19/60</f>
        <v>2.060255628708445</v>
      </c>
      <c r="O20" s="81" t="s">
        <v>37</v>
      </c>
      <c r="P20" s="30">
        <f t="shared" si="2"/>
        <v>21.336280000000002</v>
      </c>
      <c r="Q20" s="27" t="s">
        <v>45</v>
      </c>
      <c r="R20" s="103">
        <f t="shared" si="3"/>
        <v>70</v>
      </c>
      <c r="S20" s="95">
        <f t="shared" si="4"/>
        <v>6.8083881980004879</v>
      </c>
      <c r="T20" s="91">
        <f>T19 - INT(T19/2)</f>
        <v>2.8083881980004879</v>
      </c>
      <c r="U20" s="140">
        <f>U16 + INT(U17/2)</f>
        <v>14</v>
      </c>
      <c r="V20" s="10" t="s">
        <v>49</v>
      </c>
      <c r="W20" s="5">
        <f t="shared" si="5"/>
        <v>6.8083881980004879</v>
      </c>
      <c r="Y20">
        <f t="shared" si="1"/>
        <v>1</v>
      </c>
      <c r="Z20">
        <f>SUM(Y16:Y20)</f>
        <v>5</v>
      </c>
      <c r="AA20" s="105">
        <f>SUM(S16:S20)</f>
        <v>34.041940990002438</v>
      </c>
    </row>
    <row r="21" spans="2:31" ht="15" thickTop="1" thickBot="1" x14ac:dyDescent="0.5">
      <c r="B21" s="34">
        <v>105</v>
      </c>
      <c r="C21" s="36">
        <f>D13-D12</f>
        <v>21</v>
      </c>
      <c r="D21" s="36">
        <f t="shared" si="6"/>
        <v>0</v>
      </c>
      <c r="E21" s="37">
        <f t="shared" si="7"/>
        <v>0</v>
      </c>
      <c r="P21" s="30">
        <f t="shared" si="2"/>
        <v>24.384320000000002</v>
      </c>
      <c r="Q21" s="25" t="s">
        <v>46</v>
      </c>
      <c r="R21" s="101">
        <f t="shared" si="3"/>
        <v>80</v>
      </c>
      <c r="S21" s="96">
        <f t="shared" si="4"/>
        <v>3.4041940990002439</v>
      </c>
      <c r="T21" s="92">
        <f>INT(T24) + T23</f>
        <v>5.4041940990002439</v>
      </c>
      <c r="U21" s="136">
        <f>INT(SUM(S21:S25)/3) +E25</f>
        <v>5</v>
      </c>
      <c r="V21" s="9" t="s">
        <v>50</v>
      </c>
      <c r="W21" s="5">
        <f>IF(Y21=1, $N$16/$Z$25, 0)</f>
        <v>3.4041940990002439</v>
      </c>
      <c r="Y21">
        <f>IF((R21-$S$8)&gt;$S$8, 0, 1)</f>
        <v>1</v>
      </c>
    </row>
    <row r="22" spans="2:31" ht="15" thickTop="1" thickBot="1" x14ac:dyDescent="0.5">
      <c r="B22" s="38">
        <v>120</v>
      </c>
      <c r="C22" s="39">
        <f>D14-D13</f>
        <v>24</v>
      </c>
      <c r="D22" s="39">
        <f t="shared" si="6"/>
        <v>0</v>
      </c>
      <c r="E22" s="40">
        <f t="shared" si="7"/>
        <v>0</v>
      </c>
      <c r="G22" s="7" t="s">
        <v>51</v>
      </c>
      <c r="L22" s="125"/>
      <c r="M22" s="126" t="s">
        <v>76</v>
      </c>
      <c r="N22" s="85"/>
      <c r="O22" s="142" t="s">
        <v>64</v>
      </c>
      <c r="P22" s="30">
        <f t="shared" si="2"/>
        <v>27.432360000000003</v>
      </c>
      <c r="Q22" s="26"/>
      <c r="R22" s="102">
        <f t="shared" si="3"/>
        <v>90</v>
      </c>
      <c r="S22" s="95">
        <f t="shared" si="4"/>
        <v>3.4041940990002439</v>
      </c>
      <c r="T22" s="91">
        <f>T23 + INT(T23/2)</f>
        <v>4.4041940990002439</v>
      </c>
      <c r="U22" s="137">
        <f>U21 - INT(U21/2)</f>
        <v>3</v>
      </c>
      <c r="V22" s="8"/>
      <c r="W22" s="5">
        <f t="shared" ref="W22:W25" si="8">IF(Y22=1, $N$16/$Z$25, 0)</f>
        <v>3.4041940990002439</v>
      </c>
      <c r="Y22">
        <f t="shared" ref="Y22:Y25" si="9">IF((R22-$S$8)&gt;$S$8, 0, 1)</f>
        <v>1</v>
      </c>
    </row>
    <row r="23" spans="2:31" x14ac:dyDescent="0.45">
      <c r="G23" s="1" t="s">
        <v>52</v>
      </c>
      <c r="H23" s="1"/>
      <c r="I23" s="1"/>
      <c r="J23" s="1"/>
      <c r="L23" s="127"/>
      <c r="M23" s="18"/>
      <c r="N23" s="18" t="s">
        <v>22</v>
      </c>
      <c r="O23" s="128">
        <f>SUM(U14:U15)</f>
        <v>34.041714032381861</v>
      </c>
      <c r="P23" s="30">
        <f t="shared" si="2"/>
        <v>30.480400000000003</v>
      </c>
      <c r="Q23" s="26"/>
      <c r="R23" s="102">
        <f t="shared" si="3"/>
        <v>100</v>
      </c>
      <c r="S23" s="95">
        <f t="shared" si="4"/>
        <v>3.4041940990002439</v>
      </c>
      <c r="T23" s="91">
        <f>SUM(S21:S25)/5</f>
        <v>3.4041940990002439</v>
      </c>
      <c r="U23" s="137">
        <f>U22  - INT(U22/2)</f>
        <v>2</v>
      </c>
      <c r="V23" s="8"/>
      <c r="W23" s="5">
        <f t="shared" si="8"/>
        <v>3.4041940990002439</v>
      </c>
      <c r="Y23">
        <f t="shared" si="9"/>
        <v>1</v>
      </c>
    </row>
    <row r="24" spans="2:31" ht="14.65" thickBot="1" x14ac:dyDescent="0.5">
      <c r="G24" s="1" t="s">
        <v>10</v>
      </c>
      <c r="H24" s="1"/>
      <c r="I24" s="29">
        <v>0.75</v>
      </c>
      <c r="J24" s="29">
        <v>0.5</v>
      </c>
      <c r="L24" s="127"/>
      <c r="M24" s="18"/>
      <c r="N24" s="18" t="s">
        <v>23</v>
      </c>
      <c r="O24" s="128">
        <f>SUM(U16:U20)</f>
        <v>50</v>
      </c>
      <c r="P24" s="30">
        <f t="shared" si="2"/>
        <v>33.528440000000003</v>
      </c>
      <c r="Q24" s="26"/>
      <c r="R24" s="102">
        <f t="shared" si="3"/>
        <v>110</v>
      </c>
      <c r="S24" s="95">
        <f t="shared" si="4"/>
        <v>3.4041940990002439</v>
      </c>
      <c r="T24" s="91">
        <f>T23 - INT(T23/2)</f>
        <v>2.4041940990002439</v>
      </c>
      <c r="U24" s="137">
        <f>U21 + INT(U21/2)</f>
        <v>7</v>
      </c>
      <c r="V24" s="8"/>
      <c r="W24" s="5">
        <f t="shared" si="8"/>
        <v>3.4041940990002439</v>
      </c>
      <c r="Y24">
        <f t="shared" si="9"/>
        <v>1</v>
      </c>
    </row>
    <row r="25" spans="2:31" ht="15" thickTop="1" thickBot="1" x14ac:dyDescent="0.5">
      <c r="B25" t="s">
        <v>101</v>
      </c>
      <c r="E25" s="141">
        <v>0</v>
      </c>
      <c r="G25" t="s">
        <v>53</v>
      </c>
      <c r="I25">
        <v>0</v>
      </c>
      <c r="J25">
        <v>1</v>
      </c>
      <c r="L25" s="127"/>
      <c r="M25" s="18"/>
      <c r="N25" s="18" t="s">
        <v>24</v>
      </c>
      <c r="O25" s="128">
        <f>SUM(U21:U25)</f>
        <v>23</v>
      </c>
      <c r="P25" s="30">
        <f t="shared" si="2"/>
        <v>36.576480000000004</v>
      </c>
      <c r="Q25" s="27" t="s">
        <v>46</v>
      </c>
      <c r="R25" s="103">
        <f t="shared" si="3"/>
        <v>120</v>
      </c>
      <c r="S25" s="95">
        <f t="shared" si="4"/>
        <v>3.4041940990002439</v>
      </c>
      <c r="T25" s="91">
        <f>T24 - INT(T24/2)</f>
        <v>1.4041940990002439</v>
      </c>
      <c r="U25" s="138">
        <f>U21 + INT(U22/2)</f>
        <v>6</v>
      </c>
      <c r="V25" s="8"/>
      <c r="W25" s="5">
        <f t="shared" si="8"/>
        <v>3.4041940990002439</v>
      </c>
      <c r="Y25">
        <f t="shared" si="9"/>
        <v>1</v>
      </c>
      <c r="Z25">
        <f>SUM(Y21:Y25)</f>
        <v>5</v>
      </c>
      <c r="AA25" s="105">
        <f>SUM(S21:S25)</f>
        <v>17.020970495001219</v>
      </c>
      <c r="AC25" s="110"/>
      <c r="AD25" s="111"/>
      <c r="AE25" s="112"/>
    </row>
    <row r="26" spans="2:31" ht="14.65" thickTop="1" x14ac:dyDescent="0.45">
      <c r="B26" t="s">
        <v>102</v>
      </c>
      <c r="G26" t="s">
        <v>54</v>
      </c>
      <c r="I26">
        <v>1</v>
      </c>
      <c r="J26">
        <v>3</v>
      </c>
      <c r="L26" s="127"/>
      <c r="M26" s="18"/>
      <c r="N26" s="18" t="s">
        <v>25</v>
      </c>
      <c r="O26" s="128">
        <f>SUM(U26:U33)</f>
        <v>6</v>
      </c>
      <c r="P26" s="30">
        <f t="shared" si="2"/>
        <v>39.624520000000004</v>
      </c>
      <c r="Q26" s="25" t="s">
        <v>47</v>
      </c>
      <c r="R26" s="101">
        <f t="shared" si="3"/>
        <v>130</v>
      </c>
      <c r="S26" s="98">
        <f t="shared" si="4"/>
        <v>0.53190532796878809</v>
      </c>
      <c r="T26" s="92">
        <f>W26</f>
        <v>0.53190532796878809</v>
      </c>
      <c r="U26" s="135">
        <f>IF( R26&lt;$I$8, $I$39 +E25, "" )</f>
        <v>1</v>
      </c>
      <c r="V26" s="9" t="s">
        <v>50</v>
      </c>
      <c r="W26" s="5">
        <f t="shared" ref="W26:W48" si="10">IF(Y26=1, $N$17/$Z$48, 0)</f>
        <v>0.53190532796878809</v>
      </c>
      <c r="Y26">
        <f>IF((R26-$S$8)&gt;$S$8, 0, 1)</f>
        <v>1</v>
      </c>
      <c r="AC26" s="113" t="s">
        <v>86</v>
      </c>
      <c r="AD26" s="114"/>
      <c r="AE26" s="115"/>
    </row>
    <row r="27" spans="2:31" x14ac:dyDescent="0.45">
      <c r="B27" s="5" t="s">
        <v>103</v>
      </c>
      <c r="G27" t="s">
        <v>55</v>
      </c>
      <c r="I27">
        <v>2</v>
      </c>
      <c r="J27">
        <v>5</v>
      </c>
      <c r="L27" s="129" t="s">
        <v>26</v>
      </c>
      <c r="M27" s="18"/>
      <c r="N27" s="18"/>
      <c r="O27" s="130">
        <f>SUM(O23:O25)</f>
        <v>107.04171403238186</v>
      </c>
      <c r="P27" s="30">
        <f t="shared" si="2"/>
        <v>42.672560000000004</v>
      </c>
      <c r="Q27" s="26"/>
      <c r="R27" s="102">
        <f t="shared" si="3"/>
        <v>140</v>
      </c>
      <c r="S27" s="95">
        <f t="shared" si="4"/>
        <v>0.53190532796878809</v>
      </c>
      <c r="T27" s="93">
        <f t="shared" ref="T27:T48" si="11">W27</f>
        <v>0.53190532796878809</v>
      </c>
      <c r="U27" s="135">
        <f>IF( R27&lt;190, $I$39, "" )</f>
        <v>1</v>
      </c>
      <c r="W27" s="5">
        <f t="shared" si="10"/>
        <v>0.53190532796878809</v>
      </c>
      <c r="Y27">
        <f t="shared" ref="Y27:Y48" si="12">IF((R27-$S$8)&gt;$S$8, 0, 1)</f>
        <v>1</v>
      </c>
      <c r="AC27" s="116">
        <f>INT(AB28)</f>
        <v>1</v>
      </c>
      <c r="AD27" s="117" t="s">
        <v>37</v>
      </c>
      <c r="AE27" s="115"/>
    </row>
    <row r="28" spans="2:31" x14ac:dyDescent="0.45">
      <c r="G28" t="s">
        <v>56</v>
      </c>
      <c r="I28">
        <v>3</v>
      </c>
      <c r="J28">
        <v>7</v>
      </c>
      <c r="L28" s="129" t="s">
        <v>97</v>
      </c>
      <c r="M28" s="18"/>
      <c r="N28" s="18"/>
      <c r="O28" s="130">
        <f>O27+I7</f>
        <v>137.04171403238186</v>
      </c>
      <c r="P28" s="30">
        <f t="shared" si="2"/>
        <v>45.720600000000005</v>
      </c>
      <c r="Q28" s="26"/>
      <c r="R28" s="102">
        <f t="shared" si="3"/>
        <v>150</v>
      </c>
      <c r="S28" s="95">
        <f t="shared" si="4"/>
        <v>0.53190532796878809</v>
      </c>
      <c r="T28" s="93">
        <f t="shared" si="11"/>
        <v>0.53190532796878809</v>
      </c>
      <c r="U28" s="135">
        <f t="shared" ref="U28:U48" si="13">IF( R28&lt;190, $I$39, "" )</f>
        <v>1</v>
      </c>
      <c r="W28" s="5">
        <f t="shared" si="10"/>
        <v>0.53190532796878809</v>
      </c>
      <c r="Y28">
        <f t="shared" si="12"/>
        <v>1</v>
      </c>
      <c r="AA28" s="5">
        <f>SUM(U14:U25)</f>
        <v>107.04171403238186</v>
      </c>
      <c r="AB28">
        <f>AA28/60</f>
        <v>1.7840285672063643</v>
      </c>
      <c r="AC28" s="118">
        <f>AB28-AC27</f>
        <v>0.78402856720636427</v>
      </c>
      <c r="AD28" s="114"/>
      <c r="AE28" s="115"/>
    </row>
    <row r="29" spans="2:31" x14ac:dyDescent="0.45">
      <c r="G29" t="s">
        <v>57</v>
      </c>
      <c r="I29">
        <v>4</v>
      </c>
      <c r="J29">
        <v>9</v>
      </c>
      <c r="L29" s="129" t="s">
        <v>98</v>
      </c>
      <c r="M29" s="18"/>
      <c r="N29" s="18"/>
      <c r="O29" s="131">
        <f>O28/60</f>
        <v>2.2840285672063643</v>
      </c>
      <c r="P29" s="30">
        <f t="shared" si="2"/>
        <v>48.768640000000005</v>
      </c>
      <c r="Q29" s="26"/>
      <c r="R29" s="102">
        <f t="shared" si="3"/>
        <v>160</v>
      </c>
      <c r="S29" s="95">
        <f t="shared" si="4"/>
        <v>0.53190532796878809</v>
      </c>
      <c r="T29" s="93">
        <f t="shared" si="11"/>
        <v>0.53190532796878809</v>
      </c>
      <c r="U29" s="135">
        <f t="shared" si="13"/>
        <v>1</v>
      </c>
      <c r="W29" s="5">
        <f t="shared" si="10"/>
        <v>0.53190532796878809</v>
      </c>
      <c r="Y29">
        <f t="shared" si="12"/>
        <v>1</v>
      </c>
      <c r="AC29" s="118">
        <f>AC28*60</f>
        <v>47.041714032381854</v>
      </c>
      <c r="AD29" s="114"/>
      <c r="AE29" s="115"/>
    </row>
    <row r="30" spans="2:31" ht="14.65" thickBot="1" x14ac:dyDescent="0.5">
      <c r="G30" t="s">
        <v>58</v>
      </c>
      <c r="I30">
        <v>5</v>
      </c>
      <c r="J30">
        <v>10</v>
      </c>
      <c r="L30" s="132" t="s">
        <v>99</v>
      </c>
      <c r="M30" s="88"/>
      <c r="N30" s="133">
        <f>INT(O29)</f>
        <v>2</v>
      </c>
      <c r="O30" s="134">
        <f>ROUND(((O29-N30)*60),1)</f>
        <v>17</v>
      </c>
      <c r="P30" s="30">
        <f t="shared" si="2"/>
        <v>51.816680000000005</v>
      </c>
      <c r="Q30" s="26"/>
      <c r="R30" s="102">
        <f t="shared" si="3"/>
        <v>170</v>
      </c>
      <c r="S30" s="95">
        <f t="shared" si="4"/>
        <v>0.53190532796878809</v>
      </c>
      <c r="T30" s="93">
        <f t="shared" si="11"/>
        <v>0.53190532796878809</v>
      </c>
      <c r="U30" s="135">
        <f t="shared" si="13"/>
        <v>1</v>
      </c>
      <c r="W30" s="5">
        <f t="shared" si="10"/>
        <v>0.53190532796878809</v>
      </c>
      <c r="Y30">
        <f t="shared" si="12"/>
        <v>1</v>
      </c>
      <c r="AC30" s="116">
        <f>INT(AC29)</f>
        <v>47</v>
      </c>
      <c r="AD30" s="117" t="s">
        <v>36</v>
      </c>
      <c r="AE30" s="115"/>
    </row>
    <row r="31" spans="2:31" ht="15" thickTop="1" thickBot="1" x14ac:dyDescent="0.5">
      <c r="P31" s="30">
        <f t="shared" si="2"/>
        <v>54.864720000000005</v>
      </c>
      <c r="Q31" s="26"/>
      <c r="R31" s="102">
        <f t="shared" si="3"/>
        <v>180</v>
      </c>
      <c r="S31" s="95">
        <f t="shared" si="4"/>
        <v>0.53190532796878809</v>
      </c>
      <c r="T31" s="93">
        <f t="shared" si="11"/>
        <v>0.53190532796878809</v>
      </c>
      <c r="U31" s="135">
        <f t="shared" si="13"/>
        <v>1</v>
      </c>
      <c r="V31" s="9" t="s">
        <v>50</v>
      </c>
      <c r="W31" s="5">
        <f t="shared" si="10"/>
        <v>0.53190532796878809</v>
      </c>
      <c r="Y31">
        <f t="shared" si="12"/>
        <v>1</v>
      </c>
      <c r="AC31" s="116">
        <f>ROUND(( (AC29-AC30 )*60 ), 0)</f>
        <v>3</v>
      </c>
      <c r="AD31" s="117" t="s">
        <v>85</v>
      </c>
      <c r="AE31" s="115"/>
    </row>
    <row r="32" spans="2:31" ht="15" thickTop="1" thickBot="1" x14ac:dyDescent="0.5">
      <c r="G32" s="11" t="s">
        <v>59</v>
      </c>
      <c r="H32" s="11"/>
      <c r="I32" s="11"/>
      <c r="J32" s="11"/>
      <c r="K32" s="12">
        <f>IF(I7&gt;=150,5,IF(I7&gt;=120,4,IF(I7&gt;=90,3,IF(I7&gt;=60,2,IF(I7&gt;=30,1,0)))))</f>
        <v>1</v>
      </c>
      <c r="L32" t="s">
        <v>60</v>
      </c>
      <c r="P32" s="30">
        <f t="shared" si="2"/>
        <v>57.912760000000006</v>
      </c>
      <c r="Q32" s="26"/>
      <c r="R32" s="102">
        <f t="shared" si="3"/>
        <v>190</v>
      </c>
      <c r="S32" s="95">
        <f t="shared" si="4"/>
        <v>0.53190532796878809</v>
      </c>
      <c r="T32" s="93">
        <f t="shared" si="11"/>
        <v>0.53190532796878809</v>
      </c>
      <c r="U32" s="75" t="str">
        <f t="shared" si="13"/>
        <v/>
      </c>
      <c r="W32" s="5">
        <f t="shared" si="10"/>
        <v>0.53190532796878809</v>
      </c>
      <c r="Y32">
        <f t="shared" si="12"/>
        <v>1</v>
      </c>
      <c r="AC32" s="118"/>
      <c r="AD32" s="114"/>
      <c r="AE32" s="115"/>
    </row>
    <row r="33" spans="7:31" ht="14.65" thickTop="1" x14ac:dyDescent="0.45">
      <c r="L33" t="s">
        <v>61</v>
      </c>
      <c r="P33" s="30">
        <f t="shared" si="2"/>
        <v>60.960800000000006</v>
      </c>
      <c r="Q33" s="26"/>
      <c r="R33" s="102">
        <f t="shared" si="3"/>
        <v>200</v>
      </c>
      <c r="S33" s="95">
        <f t="shared" si="4"/>
        <v>0.53190532796878809</v>
      </c>
      <c r="T33" s="93">
        <f t="shared" si="11"/>
        <v>0.53190532796878809</v>
      </c>
      <c r="U33" s="75" t="str">
        <f t="shared" si="13"/>
        <v/>
      </c>
      <c r="W33" s="5">
        <f t="shared" si="10"/>
        <v>0.53190532796878809</v>
      </c>
      <c r="Y33">
        <f t="shared" si="12"/>
        <v>1</v>
      </c>
      <c r="AC33" s="113" t="s">
        <v>10</v>
      </c>
      <c r="AD33" s="114"/>
      <c r="AE33" s="115"/>
    </row>
    <row r="34" spans="7:31" x14ac:dyDescent="0.45">
      <c r="P34" s="30">
        <f t="shared" si="2"/>
        <v>64.008840000000006</v>
      </c>
      <c r="Q34" s="26"/>
      <c r="R34" s="102">
        <f t="shared" si="3"/>
        <v>210</v>
      </c>
      <c r="S34" s="95">
        <f t="shared" si="4"/>
        <v>0.53190532796878809</v>
      </c>
      <c r="T34" s="93">
        <f t="shared" si="11"/>
        <v>0.53190532796878809</v>
      </c>
      <c r="U34" s="75" t="str">
        <f t="shared" si="13"/>
        <v/>
      </c>
      <c r="W34" s="5">
        <f t="shared" si="10"/>
        <v>0.53190532796878809</v>
      </c>
      <c r="Y34">
        <f t="shared" si="12"/>
        <v>1</v>
      </c>
      <c r="AC34" s="116">
        <f>I7</f>
        <v>30</v>
      </c>
      <c r="AD34" s="117" t="s">
        <v>36</v>
      </c>
      <c r="AE34" s="115"/>
    </row>
    <row r="35" spans="7:31" x14ac:dyDescent="0.45">
      <c r="P35" s="30">
        <f t="shared" si="2"/>
        <v>67.056880000000007</v>
      </c>
      <c r="Q35" s="26"/>
      <c r="R35" s="102">
        <f t="shared" si="3"/>
        <v>220</v>
      </c>
      <c r="S35" s="95">
        <f t="shared" si="4"/>
        <v>0.53190532796878809</v>
      </c>
      <c r="T35" s="93">
        <f t="shared" si="11"/>
        <v>0.53190532796878809</v>
      </c>
      <c r="U35" s="75" t="str">
        <f t="shared" si="13"/>
        <v/>
      </c>
      <c r="W35" s="5">
        <f t="shared" si="10"/>
        <v>0.53190532796878809</v>
      </c>
      <c r="Y35">
        <f t="shared" si="12"/>
        <v>1</v>
      </c>
      <c r="AC35" s="118"/>
      <c r="AD35" s="114"/>
      <c r="AE35" s="115"/>
    </row>
    <row r="36" spans="7:31" x14ac:dyDescent="0.45">
      <c r="G36" t="s">
        <v>91</v>
      </c>
      <c r="J36" t="s">
        <v>93</v>
      </c>
      <c r="P36" s="30">
        <f t="shared" si="2"/>
        <v>70.104920000000007</v>
      </c>
      <c r="Q36" s="26"/>
      <c r="R36" s="102">
        <f t="shared" si="3"/>
        <v>230</v>
      </c>
      <c r="S36" s="95">
        <f t="shared" si="4"/>
        <v>0.53190532796878809</v>
      </c>
      <c r="T36" s="93">
        <f t="shared" si="11"/>
        <v>0.53190532796878809</v>
      </c>
      <c r="U36" s="75" t="str">
        <f t="shared" si="13"/>
        <v/>
      </c>
      <c r="W36" s="5">
        <f t="shared" si="10"/>
        <v>0.53190532796878809</v>
      </c>
      <c r="Y36">
        <f t="shared" si="12"/>
        <v>1</v>
      </c>
      <c r="AC36" s="113" t="s">
        <v>87</v>
      </c>
      <c r="AD36" s="119"/>
      <c r="AE36" s="115"/>
    </row>
    <row r="37" spans="7:31" x14ac:dyDescent="0.45">
      <c r="G37" t="s">
        <v>92</v>
      </c>
      <c r="I37">
        <f>190-130</f>
        <v>60</v>
      </c>
      <c r="J37">
        <f>I37/10</f>
        <v>6</v>
      </c>
      <c r="K37" t="s">
        <v>94</v>
      </c>
      <c r="P37" s="30">
        <f t="shared" si="2"/>
        <v>73.152960000000007</v>
      </c>
      <c r="Q37" s="26"/>
      <c r="R37" s="102">
        <f t="shared" si="3"/>
        <v>240</v>
      </c>
      <c r="S37" s="95">
        <f t="shared" si="4"/>
        <v>0.53190532796878809</v>
      </c>
      <c r="T37" s="93">
        <f t="shared" si="11"/>
        <v>0.53190532796878809</v>
      </c>
      <c r="U37" s="75" t="str">
        <f t="shared" si="13"/>
        <v/>
      </c>
      <c r="W37" s="5">
        <f t="shared" si="10"/>
        <v>0.53190532796878809</v>
      </c>
      <c r="Y37">
        <f t="shared" si="12"/>
        <v>1</v>
      </c>
      <c r="AC37" s="118"/>
      <c r="AD37" s="114"/>
      <c r="AE37" s="115"/>
    </row>
    <row r="38" spans="7:31" x14ac:dyDescent="0.45">
      <c r="J38">
        <f xml:space="preserve"> IF( (I8&lt;190), ROUND((I8-130)/10,0 ), 6 )</f>
        <v>6</v>
      </c>
      <c r="K38" t="s">
        <v>95</v>
      </c>
      <c r="P38" s="30">
        <f t="shared" si="2"/>
        <v>76.201000000000008</v>
      </c>
      <c r="Q38" s="26"/>
      <c r="R38" s="102">
        <f t="shared" si="3"/>
        <v>250</v>
      </c>
      <c r="S38" s="95">
        <f t="shared" si="4"/>
        <v>0.53190532796878809</v>
      </c>
      <c r="T38" s="93">
        <f t="shared" si="11"/>
        <v>0.53190532796878809</v>
      </c>
      <c r="U38" s="75" t="str">
        <f t="shared" si="13"/>
        <v/>
      </c>
      <c r="W38" s="5">
        <f t="shared" si="10"/>
        <v>0.53190532796878809</v>
      </c>
      <c r="Y38">
        <f t="shared" si="12"/>
        <v>1</v>
      </c>
      <c r="AC38" s="118">
        <f xml:space="preserve"> AC30 +AC34 + AC27*60</f>
        <v>137</v>
      </c>
      <c r="AD38" s="114" t="s">
        <v>88</v>
      </c>
      <c r="AE38" s="115"/>
    </row>
    <row r="39" spans="7:31" x14ac:dyDescent="0.45">
      <c r="G39" t="s">
        <v>96</v>
      </c>
      <c r="I39">
        <f>ROUND((N17/J38),0)</f>
        <v>1</v>
      </c>
      <c r="P39" s="30">
        <f t="shared" si="2"/>
        <v>79.249040000000008</v>
      </c>
      <c r="Q39" s="26"/>
      <c r="R39" s="102">
        <f t="shared" si="3"/>
        <v>260</v>
      </c>
      <c r="S39" s="95">
        <f t="shared" si="4"/>
        <v>0.53190532796878809</v>
      </c>
      <c r="T39" s="93">
        <f t="shared" si="11"/>
        <v>0.53190532796878809</v>
      </c>
      <c r="U39" s="75" t="str">
        <f t="shared" si="13"/>
        <v/>
      </c>
      <c r="W39" s="5">
        <f t="shared" si="10"/>
        <v>0.53190532796878809</v>
      </c>
      <c r="Y39">
        <f t="shared" si="12"/>
        <v>1</v>
      </c>
      <c r="AC39" s="120">
        <f>AC38/60</f>
        <v>2.2833333333333332</v>
      </c>
      <c r="AD39" s="114" t="s">
        <v>37</v>
      </c>
      <c r="AE39" s="115"/>
    </row>
    <row r="40" spans="7:31" x14ac:dyDescent="0.45">
      <c r="P40" s="30">
        <f t="shared" si="2"/>
        <v>82.297080000000008</v>
      </c>
      <c r="Q40" s="26"/>
      <c r="R40" s="102">
        <f t="shared" si="3"/>
        <v>270</v>
      </c>
      <c r="S40" s="95">
        <f t="shared" si="4"/>
        <v>0.53190532796878809</v>
      </c>
      <c r="T40" s="93">
        <f t="shared" si="11"/>
        <v>0.53190532796878809</v>
      </c>
      <c r="U40" s="75" t="str">
        <f t="shared" si="13"/>
        <v/>
      </c>
      <c r="W40" s="5">
        <f t="shared" si="10"/>
        <v>0.53190532796878809</v>
      </c>
      <c r="Y40">
        <f t="shared" si="12"/>
        <v>1</v>
      </c>
      <c r="AC40" s="118">
        <f>INT(AC39)</f>
        <v>2</v>
      </c>
      <c r="AD40" s="114" t="s">
        <v>37</v>
      </c>
      <c r="AE40" s="115"/>
    </row>
    <row r="41" spans="7:31" ht="14.65" thickBot="1" x14ac:dyDescent="0.5">
      <c r="P41" s="30">
        <f t="shared" si="2"/>
        <v>85.345120000000009</v>
      </c>
      <c r="Q41" s="26"/>
      <c r="R41" s="102">
        <f t="shared" si="3"/>
        <v>280</v>
      </c>
      <c r="S41" s="95">
        <f t="shared" si="4"/>
        <v>0.53190532796878809</v>
      </c>
      <c r="T41" s="93">
        <f t="shared" si="11"/>
        <v>0.53190532796878809</v>
      </c>
      <c r="U41" s="75" t="str">
        <f t="shared" si="13"/>
        <v/>
      </c>
      <c r="W41" s="5">
        <f t="shared" si="10"/>
        <v>0.53190532796878809</v>
      </c>
      <c r="Y41">
        <f t="shared" si="12"/>
        <v>1</v>
      </c>
      <c r="AC41" s="121">
        <f>(AC39-AC40)*60</f>
        <v>16.999999999999993</v>
      </c>
      <c r="AD41" s="122" t="s">
        <v>89</v>
      </c>
      <c r="AE41" s="123"/>
    </row>
    <row r="42" spans="7:31" ht="14.65" thickTop="1" x14ac:dyDescent="0.45">
      <c r="N42" s="1"/>
      <c r="P42" s="30">
        <f t="shared" si="2"/>
        <v>88.393160000000009</v>
      </c>
      <c r="Q42" s="26"/>
      <c r="R42" s="102">
        <f t="shared" si="3"/>
        <v>290</v>
      </c>
      <c r="S42" s="95">
        <f t="shared" si="4"/>
        <v>0</v>
      </c>
      <c r="T42" s="93">
        <f t="shared" si="11"/>
        <v>0</v>
      </c>
      <c r="U42" s="75" t="str">
        <f t="shared" si="13"/>
        <v/>
      </c>
      <c r="W42" s="5">
        <f t="shared" si="10"/>
        <v>0</v>
      </c>
      <c r="Y42">
        <f t="shared" si="12"/>
        <v>0</v>
      </c>
    </row>
    <row r="43" spans="7:31" x14ac:dyDescent="0.45">
      <c r="P43" s="30">
        <f t="shared" si="2"/>
        <v>91.441200000000009</v>
      </c>
      <c r="Q43" s="26"/>
      <c r="R43" s="102">
        <f t="shared" si="3"/>
        <v>300</v>
      </c>
      <c r="S43" s="95">
        <f t="shared" si="4"/>
        <v>0</v>
      </c>
      <c r="T43" s="93">
        <f t="shared" si="11"/>
        <v>0</v>
      </c>
      <c r="U43" s="75" t="str">
        <f t="shared" si="13"/>
        <v/>
      </c>
      <c r="W43" s="5">
        <f t="shared" si="10"/>
        <v>0</v>
      </c>
      <c r="Y43">
        <f t="shared" si="12"/>
        <v>0</v>
      </c>
    </row>
    <row r="44" spans="7:31" x14ac:dyDescent="0.45">
      <c r="P44" s="30">
        <f t="shared" si="2"/>
        <v>94.489240000000009</v>
      </c>
      <c r="Q44" s="26"/>
      <c r="R44" s="102">
        <f t="shared" si="3"/>
        <v>310</v>
      </c>
      <c r="S44" s="95">
        <f t="shared" si="4"/>
        <v>0</v>
      </c>
      <c r="T44" s="93">
        <f t="shared" si="11"/>
        <v>0</v>
      </c>
      <c r="U44" s="75" t="str">
        <f t="shared" si="13"/>
        <v/>
      </c>
      <c r="W44" s="5">
        <f t="shared" si="10"/>
        <v>0</v>
      </c>
      <c r="Y44">
        <f t="shared" si="12"/>
        <v>0</v>
      </c>
    </row>
    <row r="45" spans="7:31" x14ac:dyDescent="0.45">
      <c r="P45" s="30">
        <f t="shared" si="2"/>
        <v>97.53728000000001</v>
      </c>
      <c r="Q45" s="26"/>
      <c r="R45" s="102">
        <f t="shared" si="3"/>
        <v>320</v>
      </c>
      <c r="S45" s="95">
        <f t="shared" si="4"/>
        <v>0</v>
      </c>
      <c r="T45" s="93">
        <f t="shared" si="11"/>
        <v>0</v>
      </c>
      <c r="U45" s="75" t="str">
        <f t="shared" si="13"/>
        <v/>
      </c>
      <c r="W45" s="5">
        <f t="shared" si="10"/>
        <v>0</v>
      </c>
      <c r="Y45">
        <f t="shared" si="12"/>
        <v>0</v>
      </c>
    </row>
    <row r="46" spans="7:31" x14ac:dyDescent="0.45">
      <c r="P46" s="30">
        <f t="shared" si="2"/>
        <v>100.58532000000001</v>
      </c>
      <c r="Q46" s="26"/>
      <c r="R46" s="102">
        <f t="shared" si="3"/>
        <v>330</v>
      </c>
      <c r="S46" s="95">
        <f t="shared" si="4"/>
        <v>0</v>
      </c>
      <c r="T46" s="93">
        <f t="shared" si="11"/>
        <v>0</v>
      </c>
      <c r="U46" s="75" t="str">
        <f t="shared" si="13"/>
        <v/>
      </c>
      <c r="W46" s="5">
        <f t="shared" si="10"/>
        <v>0</v>
      </c>
      <c r="Y46">
        <f t="shared" si="12"/>
        <v>0</v>
      </c>
    </row>
    <row r="47" spans="7:31" x14ac:dyDescent="0.45">
      <c r="P47" s="30">
        <f t="shared" si="2"/>
        <v>103.63336000000001</v>
      </c>
      <c r="Q47" s="26"/>
      <c r="R47" s="102">
        <f t="shared" si="3"/>
        <v>340</v>
      </c>
      <c r="S47" s="95">
        <f t="shared" si="4"/>
        <v>0</v>
      </c>
      <c r="T47" s="93">
        <f t="shared" si="11"/>
        <v>0</v>
      </c>
      <c r="U47" s="75" t="str">
        <f t="shared" si="13"/>
        <v/>
      </c>
      <c r="W47" s="5">
        <f t="shared" si="10"/>
        <v>0</v>
      </c>
      <c r="Y47">
        <f t="shared" si="12"/>
        <v>0</v>
      </c>
    </row>
    <row r="48" spans="7:31" ht="14.65" thickBot="1" x14ac:dyDescent="0.5">
      <c r="P48" s="30">
        <f t="shared" si="2"/>
        <v>106.68140000000001</v>
      </c>
      <c r="Q48" s="27" t="s">
        <v>47</v>
      </c>
      <c r="R48" s="103">
        <f t="shared" si="3"/>
        <v>350</v>
      </c>
      <c r="S48" s="95">
        <f t="shared" si="4"/>
        <v>0</v>
      </c>
      <c r="T48" s="94">
        <f t="shared" si="11"/>
        <v>0</v>
      </c>
      <c r="U48" s="124" t="str">
        <f t="shared" si="13"/>
        <v/>
      </c>
      <c r="W48" s="5">
        <f t="shared" si="10"/>
        <v>0</v>
      </c>
      <c r="Y48">
        <f t="shared" si="12"/>
        <v>0</v>
      </c>
      <c r="Z48">
        <f>SUM(Y26:Y48)</f>
        <v>16</v>
      </c>
      <c r="AA48" s="105">
        <f>SUM(S26:S48)</f>
        <v>8.5104852475006094</v>
      </c>
    </row>
    <row r="49" ht="14.65" thickTop="1" x14ac:dyDescent="0.4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1BF7-D7B3-452C-91D5-553F28BEFD58}">
  <dimension ref="C3:L34"/>
  <sheetViews>
    <sheetView workbookViewId="0">
      <selection activeCell="H33" sqref="H33"/>
    </sheetView>
  </sheetViews>
  <sheetFormatPr defaultRowHeight="13.5" x14ac:dyDescent="0.35"/>
  <cols>
    <col min="1" max="2" width="9.06640625" style="107"/>
    <col min="3" max="3" width="10.73046875" style="107" customWidth="1"/>
    <col min="4" max="4" width="11.59765625" style="107" customWidth="1"/>
    <col min="5" max="5" width="10.9296875" style="107" customWidth="1"/>
    <col min="6" max="6" width="10.73046875" style="107" customWidth="1"/>
    <col min="7" max="7" width="10.6640625" style="109" customWidth="1"/>
    <col min="8" max="8" width="10.33203125" style="107" customWidth="1"/>
    <col min="9" max="16384" width="9.06640625" style="107"/>
  </cols>
  <sheetData>
    <row r="3" spans="3:12" ht="13.9" x14ac:dyDescent="0.4">
      <c r="C3" s="106" t="s">
        <v>77</v>
      </c>
      <c r="D3" s="106" t="s">
        <v>78</v>
      </c>
      <c r="E3" s="106" t="s">
        <v>79</v>
      </c>
      <c r="F3" s="106" t="s">
        <v>80</v>
      </c>
      <c r="G3" s="108" t="s">
        <v>81</v>
      </c>
      <c r="H3" s="106" t="s">
        <v>82</v>
      </c>
    </row>
    <row r="5" spans="3:12" x14ac:dyDescent="0.35">
      <c r="C5" s="107">
        <v>109</v>
      </c>
      <c r="D5" s="107">
        <v>71</v>
      </c>
      <c r="E5" s="107">
        <v>41</v>
      </c>
      <c r="F5" s="107">
        <v>17.55</v>
      </c>
      <c r="G5" s="109">
        <v>0.41</v>
      </c>
      <c r="H5" s="107" t="s">
        <v>83</v>
      </c>
      <c r="J5" s="107">
        <v>71</v>
      </c>
      <c r="K5" s="107">
        <v>17.55</v>
      </c>
      <c r="L5" s="109">
        <v>0.41</v>
      </c>
    </row>
    <row r="6" spans="3:12" x14ac:dyDescent="0.35">
      <c r="C6" s="107">
        <v>108</v>
      </c>
      <c r="D6" s="107">
        <v>53</v>
      </c>
      <c r="E6" s="107">
        <v>77</v>
      </c>
      <c r="F6" s="107">
        <v>52.81</v>
      </c>
      <c r="G6" s="109">
        <v>0.42</v>
      </c>
      <c r="H6" s="107" t="s">
        <v>83</v>
      </c>
      <c r="J6" s="107">
        <v>53</v>
      </c>
      <c r="K6" s="107">
        <v>52.81</v>
      </c>
      <c r="L6" s="109">
        <v>0.42</v>
      </c>
    </row>
    <row r="7" spans="3:12" x14ac:dyDescent="0.35">
      <c r="C7" s="107">
        <v>107</v>
      </c>
      <c r="D7" s="107">
        <v>50</v>
      </c>
      <c r="E7" s="107">
        <v>54</v>
      </c>
      <c r="F7" s="107">
        <v>38.17</v>
      </c>
      <c r="G7" s="109">
        <v>0.45</v>
      </c>
      <c r="H7" s="107" t="s">
        <v>84</v>
      </c>
      <c r="J7" s="107">
        <v>50</v>
      </c>
      <c r="K7" s="107">
        <v>38.17</v>
      </c>
      <c r="L7" s="109">
        <v>0.45</v>
      </c>
    </row>
    <row r="8" spans="3:12" x14ac:dyDescent="0.35">
      <c r="C8" s="107">
        <v>106</v>
      </c>
      <c r="D8" s="107">
        <v>66</v>
      </c>
      <c r="E8" s="107">
        <v>69</v>
      </c>
      <c r="F8" s="107">
        <v>37.520000000000003</v>
      </c>
      <c r="G8" s="109">
        <v>0.41</v>
      </c>
      <c r="H8" s="107" t="s">
        <v>84</v>
      </c>
      <c r="J8" s="107">
        <v>66</v>
      </c>
      <c r="K8" s="107">
        <v>37.520000000000003</v>
      </c>
      <c r="L8" s="109">
        <v>0.41</v>
      </c>
    </row>
    <row r="9" spans="3:12" x14ac:dyDescent="0.35">
      <c r="C9" s="107">
        <v>105</v>
      </c>
      <c r="D9" s="107">
        <v>58</v>
      </c>
      <c r="E9" s="107">
        <v>74</v>
      </c>
      <c r="F9" s="107">
        <v>39.93</v>
      </c>
      <c r="G9" s="109">
        <v>0.45</v>
      </c>
      <c r="H9" s="107" t="s">
        <v>83</v>
      </c>
      <c r="J9" s="107">
        <v>58</v>
      </c>
      <c r="K9" s="107">
        <v>39.93</v>
      </c>
      <c r="L9" s="109">
        <v>0.45</v>
      </c>
    </row>
    <row r="10" spans="3:12" x14ac:dyDescent="0.35">
      <c r="C10" s="107">
        <v>104</v>
      </c>
      <c r="D10" s="107">
        <v>55</v>
      </c>
      <c r="E10" s="107">
        <v>62</v>
      </c>
      <c r="F10" s="107">
        <v>36.97</v>
      </c>
      <c r="G10" s="109">
        <v>0.41</v>
      </c>
      <c r="H10" s="107" t="s">
        <v>83</v>
      </c>
      <c r="J10" s="107">
        <v>55</v>
      </c>
      <c r="K10" s="107">
        <v>36.97</v>
      </c>
      <c r="L10" s="109">
        <v>0.41</v>
      </c>
    </row>
    <row r="11" spans="3:12" x14ac:dyDescent="0.35">
      <c r="C11" s="107">
        <v>103</v>
      </c>
      <c r="D11" s="107">
        <v>58</v>
      </c>
      <c r="E11" s="107">
        <v>51</v>
      </c>
      <c r="F11" s="107">
        <v>38.1</v>
      </c>
      <c r="G11" s="109">
        <v>0.4</v>
      </c>
      <c r="H11" s="107" t="s">
        <v>83</v>
      </c>
      <c r="J11" s="107">
        <v>58</v>
      </c>
      <c r="K11" s="107">
        <v>38.1</v>
      </c>
      <c r="L11" s="109">
        <v>0.4</v>
      </c>
    </row>
    <row r="12" spans="3:12" x14ac:dyDescent="0.35">
      <c r="C12" s="107">
        <v>102</v>
      </c>
      <c r="D12" s="107">
        <v>55</v>
      </c>
      <c r="E12" s="107">
        <v>94</v>
      </c>
      <c r="F12" s="107">
        <v>42.94</v>
      </c>
      <c r="G12" s="109">
        <v>0.4</v>
      </c>
      <c r="H12" s="107" t="s">
        <v>84</v>
      </c>
      <c r="J12" s="107">
        <v>55</v>
      </c>
      <c r="K12" s="107">
        <v>42.94</v>
      </c>
      <c r="L12" s="109">
        <v>0.4</v>
      </c>
    </row>
    <row r="13" spans="3:12" x14ac:dyDescent="0.35">
      <c r="C13" s="107">
        <v>101</v>
      </c>
      <c r="D13" s="107">
        <v>53</v>
      </c>
      <c r="E13" s="107">
        <v>72</v>
      </c>
      <c r="F13" s="107">
        <v>42.73</v>
      </c>
      <c r="G13" s="109">
        <v>0.48</v>
      </c>
      <c r="H13" s="107" t="s">
        <v>84</v>
      </c>
      <c r="J13" s="107">
        <v>53</v>
      </c>
      <c r="K13" s="107">
        <v>42.73</v>
      </c>
      <c r="L13" s="109">
        <v>0.48</v>
      </c>
    </row>
    <row r="14" spans="3:12" x14ac:dyDescent="0.35">
      <c r="C14" s="107">
        <v>100</v>
      </c>
      <c r="D14" s="107">
        <v>66</v>
      </c>
      <c r="E14" s="107">
        <v>45</v>
      </c>
      <c r="F14" s="107">
        <v>32.69</v>
      </c>
      <c r="G14" s="109">
        <v>0.39</v>
      </c>
      <c r="H14" s="107" t="s">
        <v>83</v>
      </c>
      <c r="J14" s="107">
        <v>66</v>
      </c>
      <c r="K14" s="107">
        <v>32.69</v>
      </c>
      <c r="L14" s="109">
        <v>0.39</v>
      </c>
    </row>
    <row r="15" spans="3:12" x14ac:dyDescent="0.35">
      <c r="C15" s="107">
        <v>99</v>
      </c>
      <c r="D15" s="107">
        <v>59</v>
      </c>
      <c r="E15" s="107">
        <v>33</v>
      </c>
      <c r="F15" s="107">
        <v>19.190000000000001</v>
      </c>
      <c r="G15" s="109">
        <v>0.44</v>
      </c>
      <c r="H15" s="107" t="s">
        <v>84</v>
      </c>
      <c r="J15" s="107">
        <v>59</v>
      </c>
      <c r="K15" s="107">
        <v>19.190000000000001</v>
      </c>
      <c r="L15" s="109">
        <v>0.44</v>
      </c>
    </row>
    <row r="16" spans="3:12" x14ac:dyDescent="0.35">
      <c r="C16" s="107">
        <v>98</v>
      </c>
      <c r="D16" s="107">
        <v>55</v>
      </c>
      <c r="E16" s="107">
        <v>72</v>
      </c>
      <c r="F16" s="107">
        <v>47.37</v>
      </c>
      <c r="G16" s="109">
        <v>0.43</v>
      </c>
      <c r="H16" s="107" t="s">
        <v>83</v>
      </c>
      <c r="J16" s="107">
        <v>55</v>
      </c>
      <c r="K16" s="107">
        <v>47.37</v>
      </c>
      <c r="L16" s="109">
        <v>0.43</v>
      </c>
    </row>
    <row r="17" spans="3:12" x14ac:dyDescent="0.35">
      <c r="C17" s="107">
        <v>97</v>
      </c>
      <c r="D17" s="107">
        <v>72</v>
      </c>
      <c r="E17" s="107">
        <v>40</v>
      </c>
      <c r="F17" s="107">
        <v>20.52</v>
      </c>
      <c r="G17" s="109">
        <v>0.51</v>
      </c>
      <c r="H17" s="107" t="s">
        <v>84</v>
      </c>
      <c r="J17" s="107">
        <v>72</v>
      </c>
      <c r="K17" s="107">
        <v>20.52</v>
      </c>
      <c r="L17" s="109">
        <v>0.51</v>
      </c>
    </row>
    <row r="18" spans="3:12" x14ac:dyDescent="0.35">
      <c r="C18" s="107">
        <v>96</v>
      </c>
      <c r="D18" s="107">
        <v>56</v>
      </c>
      <c r="E18" s="107">
        <v>69</v>
      </c>
      <c r="F18" s="107">
        <v>38.46</v>
      </c>
      <c r="G18" s="109">
        <v>0.43</v>
      </c>
      <c r="H18" s="107" t="s">
        <v>83</v>
      </c>
      <c r="J18" s="107">
        <v>56</v>
      </c>
      <c r="K18" s="107">
        <v>38.46</v>
      </c>
      <c r="L18" s="109">
        <v>0.43</v>
      </c>
    </row>
    <row r="19" spans="3:12" x14ac:dyDescent="0.35">
      <c r="C19" s="107">
        <v>95</v>
      </c>
      <c r="D19" s="107">
        <v>51</v>
      </c>
      <c r="E19" s="107">
        <v>82</v>
      </c>
      <c r="F19" s="107">
        <v>48.71</v>
      </c>
      <c r="G19" s="109">
        <v>0.51</v>
      </c>
      <c r="H19" s="107" t="s">
        <v>84</v>
      </c>
      <c r="J19" s="107">
        <v>51</v>
      </c>
      <c r="K19" s="107">
        <v>48.71</v>
      </c>
      <c r="L19" s="109">
        <v>0.51</v>
      </c>
    </row>
    <row r="20" spans="3:12" x14ac:dyDescent="0.35">
      <c r="C20" s="107">
        <v>94</v>
      </c>
      <c r="D20" s="107">
        <v>57</v>
      </c>
      <c r="E20" s="107">
        <v>63</v>
      </c>
      <c r="F20" s="107">
        <v>40.229999999999997</v>
      </c>
      <c r="G20" s="109">
        <v>0.44</v>
      </c>
      <c r="H20" s="107" t="s">
        <v>83</v>
      </c>
      <c r="J20" s="107">
        <v>57</v>
      </c>
      <c r="K20" s="107">
        <v>40.229999999999997</v>
      </c>
      <c r="L20" s="109">
        <v>0.44</v>
      </c>
    </row>
    <row r="21" spans="3:12" x14ac:dyDescent="0.35">
      <c r="C21" s="107">
        <v>93</v>
      </c>
      <c r="D21" s="107">
        <v>52</v>
      </c>
      <c r="E21" s="107">
        <v>72</v>
      </c>
      <c r="F21" s="107">
        <v>41.01</v>
      </c>
      <c r="G21" s="109">
        <v>0.54</v>
      </c>
      <c r="H21" s="107" t="s">
        <v>84</v>
      </c>
      <c r="J21" s="107">
        <v>52</v>
      </c>
      <c r="K21" s="107">
        <v>41.01</v>
      </c>
      <c r="L21" s="109">
        <v>0.54</v>
      </c>
    </row>
    <row r="22" spans="3:12" x14ac:dyDescent="0.35">
      <c r="C22" s="107">
        <v>92</v>
      </c>
      <c r="D22" s="107">
        <v>44</v>
      </c>
      <c r="E22" s="107">
        <v>104</v>
      </c>
      <c r="F22" s="107">
        <v>51.95</v>
      </c>
      <c r="G22" s="109">
        <v>0.52</v>
      </c>
      <c r="H22" s="107" t="s">
        <v>84</v>
      </c>
      <c r="J22" s="107">
        <v>44</v>
      </c>
      <c r="K22" s="107">
        <v>51.95</v>
      </c>
      <c r="L22" s="109">
        <v>0.52</v>
      </c>
    </row>
    <row r="23" spans="3:12" x14ac:dyDescent="0.35">
      <c r="C23" s="107">
        <v>91</v>
      </c>
      <c r="D23" s="107">
        <v>64</v>
      </c>
      <c r="E23" s="107">
        <v>95</v>
      </c>
      <c r="F23" s="107">
        <v>34.53</v>
      </c>
      <c r="G23" s="109">
        <v>0.44</v>
      </c>
      <c r="H23" s="107" t="s">
        <v>83</v>
      </c>
      <c r="J23" s="107">
        <v>64</v>
      </c>
      <c r="K23" s="107">
        <v>34.53</v>
      </c>
      <c r="L23" s="109">
        <v>0.44</v>
      </c>
    </row>
    <row r="24" spans="3:12" x14ac:dyDescent="0.35">
      <c r="C24" s="107">
        <v>90</v>
      </c>
      <c r="D24" s="107">
        <v>61</v>
      </c>
      <c r="E24" s="107">
        <v>80</v>
      </c>
      <c r="F24" s="107">
        <v>52</v>
      </c>
      <c r="G24" s="109">
        <v>0.46</v>
      </c>
      <c r="H24" s="107" t="s">
        <v>83</v>
      </c>
      <c r="J24" s="107">
        <v>61</v>
      </c>
      <c r="K24" s="107">
        <v>52</v>
      </c>
      <c r="L24" s="109">
        <v>0.46</v>
      </c>
    </row>
    <row r="25" spans="3:12" x14ac:dyDescent="0.35">
      <c r="C25" s="107">
        <v>89</v>
      </c>
      <c r="D25" s="107">
        <v>63</v>
      </c>
      <c r="E25" s="107">
        <v>81</v>
      </c>
      <c r="F25" s="107">
        <v>44.31</v>
      </c>
      <c r="G25" s="109">
        <v>0.38</v>
      </c>
      <c r="H25" s="107" t="s">
        <v>83</v>
      </c>
      <c r="J25" s="107">
        <v>63</v>
      </c>
      <c r="K25" s="107">
        <v>44.31</v>
      </c>
      <c r="L25" s="109">
        <v>0.38</v>
      </c>
    </row>
    <row r="26" spans="3:12" x14ac:dyDescent="0.35">
      <c r="C26" s="107">
        <v>88</v>
      </c>
      <c r="D26" s="107">
        <v>61</v>
      </c>
      <c r="E26" s="107">
        <v>79</v>
      </c>
      <c r="F26" s="107">
        <v>48.3</v>
      </c>
      <c r="G26" s="109">
        <v>0.4</v>
      </c>
      <c r="H26" s="107" t="s">
        <v>83</v>
      </c>
      <c r="J26" s="107">
        <v>61</v>
      </c>
      <c r="K26" s="107">
        <v>48.3</v>
      </c>
      <c r="L26" s="109">
        <v>0.4</v>
      </c>
    </row>
    <row r="27" spans="3:12" x14ac:dyDescent="0.35">
      <c r="C27" s="107">
        <v>87</v>
      </c>
    </row>
    <row r="28" spans="3:12" x14ac:dyDescent="0.35">
      <c r="C28" s="107">
        <v>86</v>
      </c>
    </row>
    <row r="29" spans="3:12" x14ac:dyDescent="0.35">
      <c r="C29" s="107">
        <v>85</v>
      </c>
    </row>
    <row r="30" spans="3:12" x14ac:dyDescent="0.35">
      <c r="C30" s="107">
        <v>84</v>
      </c>
    </row>
    <row r="31" spans="3:12" x14ac:dyDescent="0.35">
      <c r="C31" s="107">
        <v>83</v>
      </c>
    </row>
    <row r="32" spans="3:12" x14ac:dyDescent="0.35">
      <c r="C32" s="107">
        <v>82</v>
      </c>
    </row>
    <row r="33" spans="3:3" x14ac:dyDescent="0.35">
      <c r="C33" s="107">
        <v>81</v>
      </c>
    </row>
    <row r="34" spans="3:3" x14ac:dyDescent="0.35">
      <c r="C34" s="107">
        <v>80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92507-28B8-4027-898B-921BC95A3660}">
  <dimension ref="A3:AB28"/>
  <sheetViews>
    <sheetView workbookViewId="0">
      <selection activeCell="I6" sqref="I6"/>
    </sheetView>
  </sheetViews>
  <sheetFormatPr defaultRowHeight="14.25" x14ac:dyDescent="0.45"/>
  <sheetData>
    <row r="3" spans="1:28" x14ac:dyDescent="0.45">
      <c r="A3" s="107">
        <v>71</v>
      </c>
      <c r="B3" s="107">
        <v>17.55</v>
      </c>
      <c r="C3" s="109">
        <v>0.41</v>
      </c>
    </row>
    <row r="4" spans="1:28" x14ac:dyDescent="0.45">
      <c r="A4" s="107">
        <v>53</v>
      </c>
      <c r="B4" s="107">
        <v>52.81</v>
      </c>
      <c r="C4" s="109">
        <v>0.42</v>
      </c>
      <c r="G4">
        <v>17.55</v>
      </c>
      <c r="H4">
        <v>52.81</v>
      </c>
      <c r="I4">
        <v>38.17</v>
      </c>
      <c r="J4">
        <v>37.520000000000003</v>
      </c>
      <c r="K4">
        <v>39.93</v>
      </c>
      <c r="L4">
        <v>36.97</v>
      </c>
      <c r="M4">
        <v>38.1</v>
      </c>
      <c r="N4">
        <v>42.94</v>
      </c>
      <c r="O4">
        <v>42.73</v>
      </c>
      <c r="P4">
        <v>32.69</v>
      </c>
      <c r="Q4">
        <v>19.190000000000001</v>
      </c>
      <c r="R4">
        <v>47.37</v>
      </c>
      <c r="S4">
        <v>20.52</v>
      </c>
      <c r="T4">
        <v>38.46</v>
      </c>
      <c r="U4">
        <v>48.71</v>
      </c>
      <c r="V4">
        <v>40.229999999999997</v>
      </c>
      <c r="W4">
        <v>41.01</v>
      </c>
      <c r="X4">
        <v>51.95</v>
      </c>
      <c r="Y4">
        <v>34.53</v>
      </c>
      <c r="Z4">
        <v>52</v>
      </c>
      <c r="AA4">
        <v>44.31</v>
      </c>
      <c r="AB4">
        <v>48.3</v>
      </c>
    </row>
    <row r="5" spans="1:28" x14ac:dyDescent="0.45">
      <c r="A5" s="107">
        <v>50</v>
      </c>
      <c r="B5" s="107">
        <v>38.17</v>
      </c>
      <c r="C5" s="109">
        <v>0.45</v>
      </c>
      <c r="F5" s="107">
        <v>71</v>
      </c>
      <c r="G5">
        <v>0.41</v>
      </c>
    </row>
    <row r="6" spans="1:28" x14ac:dyDescent="0.45">
      <c r="A6" s="107">
        <v>66</v>
      </c>
      <c r="B6" s="107">
        <v>37.520000000000003</v>
      </c>
      <c r="C6" s="109">
        <v>0.41</v>
      </c>
      <c r="F6" s="107">
        <v>53</v>
      </c>
      <c r="H6">
        <v>0.42</v>
      </c>
    </row>
    <row r="7" spans="1:28" x14ac:dyDescent="0.45">
      <c r="A7" s="107">
        <v>58</v>
      </c>
      <c r="B7" s="107">
        <v>39.93</v>
      </c>
      <c r="C7" s="109">
        <v>0.45</v>
      </c>
      <c r="F7" s="107">
        <v>50</v>
      </c>
      <c r="I7" s="107"/>
    </row>
    <row r="8" spans="1:28" x14ac:dyDescent="0.45">
      <c r="A8" s="107">
        <v>55</v>
      </c>
      <c r="B8" s="107">
        <v>36.97</v>
      </c>
      <c r="C8" s="109">
        <v>0.41</v>
      </c>
      <c r="F8" s="107">
        <v>66</v>
      </c>
      <c r="I8" s="107"/>
    </row>
    <row r="9" spans="1:28" x14ac:dyDescent="0.45">
      <c r="A9" s="107">
        <v>58</v>
      </c>
      <c r="B9" s="107">
        <v>38.1</v>
      </c>
      <c r="C9" s="109">
        <v>0.4</v>
      </c>
      <c r="F9" s="107">
        <v>58</v>
      </c>
      <c r="I9" s="107"/>
    </row>
    <row r="10" spans="1:28" x14ac:dyDescent="0.45">
      <c r="A10" s="107">
        <v>55</v>
      </c>
      <c r="B10" s="107">
        <v>42.94</v>
      </c>
      <c r="C10" s="109">
        <v>0.4</v>
      </c>
      <c r="F10" s="107">
        <v>55</v>
      </c>
      <c r="I10" s="107"/>
    </row>
    <row r="11" spans="1:28" x14ac:dyDescent="0.45">
      <c r="A11" s="107">
        <v>53</v>
      </c>
      <c r="B11" s="107">
        <v>42.73</v>
      </c>
      <c r="C11" s="109">
        <v>0.48</v>
      </c>
      <c r="F11" s="107">
        <v>58</v>
      </c>
      <c r="I11" s="107"/>
    </row>
    <row r="12" spans="1:28" x14ac:dyDescent="0.45">
      <c r="A12" s="107">
        <v>66</v>
      </c>
      <c r="B12" s="107">
        <v>32.69</v>
      </c>
      <c r="C12" s="109">
        <v>0.39</v>
      </c>
      <c r="F12" s="107">
        <v>55</v>
      </c>
      <c r="I12" s="107"/>
    </row>
    <row r="13" spans="1:28" x14ac:dyDescent="0.45">
      <c r="A13" s="107">
        <v>59</v>
      </c>
      <c r="B13" s="107">
        <v>19.190000000000001</v>
      </c>
      <c r="C13" s="109">
        <v>0.44</v>
      </c>
      <c r="F13" s="107">
        <v>53</v>
      </c>
      <c r="I13" s="107"/>
    </row>
    <row r="14" spans="1:28" x14ac:dyDescent="0.45">
      <c r="A14" s="107">
        <v>55</v>
      </c>
      <c r="B14" s="107">
        <v>47.37</v>
      </c>
      <c r="C14" s="109">
        <v>0.43</v>
      </c>
      <c r="F14" s="107">
        <v>66</v>
      </c>
      <c r="I14" s="107"/>
    </row>
    <row r="15" spans="1:28" x14ac:dyDescent="0.45">
      <c r="A15" s="107">
        <v>72</v>
      </c>
      <c r="B15" s="107">
        <v>20.52</v>
      </c>
      <c r="C15" s="109">
        <v>0.51</v>
      </c>
      <c r="F15" s="107">
        <v>59</v>
      </c>
      <c r="I15" s="107"/>
    </row>
    <row r="16" spans="1:28" x14ac:dyDescent="0.45">
      <c r="A16" s="107">
        <v>56</v>
      </c>
      <c r="B16" s="107">
        <v>38.46</v>
      </c>
      <c r="C16" s="109">
        <v>0.43</v>
      </c>
      <c r="F16" s="107">
        <v>55</v>
      </c>
      <c r="I16" s="107"/>
    </row>
    <row r="17" spans="1:9" x14ac:dyDescent="0.45">
      <c r="A17" s="107">
        <v>51</v>
      </c>
      <c r="B17" s="107">
        <v>48.71</v>
      </c>
      <c r="C17" s="109">
        <v>0.51</v>
      </c>
      <c r="F17" s="107">
        <v>72</v>
      </c>
      <c r="I17" s="107"/>
    </row>
    <row r="18" spans="1:9" x14ac:dyDescent="0.45">
      <c r="A18" s="107">
        <v>57</v>
      </c>
      <c r="B18" s="107">
        <v>40.229999999999997</v>
      </c>
      <c r="C18" s="109">
        <v>0.44</v>
      </c>
      <c r="F18" s="107">
        <v>56</v>
      </c>
      <c r="I18" s="107"/>
    </row>
    <row r="19" spans="1:9" x14ac:dyDescent="0.45">
      <c r="A19" s="107">
        <v>52</v>
      </c>
      <c r="B19" s="107">
        <v>41.01</v>
      </c>
      <c r="C19" s="109">
        <v>0.54</v>
      </c>
      <c r="F19" s="107">
        <v>51</v>
      </c>
      <c r="I19" s="107"/>
    </row>
    <row r="20" spans="1:9" x14ac:dyDescent="0.45">
      <c r="A20" s="107">
        <v>44</v>
      </c>
      <c r="B20" s="107">
        <v>51.95</v>
      </c>
      <c r="C20" s="109">
        <v>0.52</v>
      </c>
      <c r="F20" s="107">
        <v>57</v>
      </c>
      <c r="I20" s="107"/>
    </row>
    <row r="21" spans="1:9" x14ac:dyDescent="0.45">
      <c r="A21" s="107">
        <v>64</v>
      </c>
      <c r="B21" s="107">
        <v>34.53</v>
      </c>
      <c r="C21" s="109">
        <v>0.44</v>
      </c>
      <c r="F21" s="107">
        <v>52</v>
      </c>
      <c r="I21" s="107"/>
    </row>
    <row r="22" spans="1:9" x14ac:dyDescent="0.45">
      <c r="A22" s="107">
        <v>61</v>
      </c>
      <c r="B22" s="107">
        <v>52</v>
      </c>
      <c r="C22" s="109">
        <v>0.46</v>
      </c>
      <c r="F22" s="107">
        <v>44</v>
      </c>
      <c r="I22" s="107"/>
    </row>
    <row r="23" spans="1:9" x14ac:dyDescent="0.45">
      <c r="A23" s="107">
        <v>63</v>
      </c>
      <c r="B23" s="107">
        <v>44.31</v>
      </c>
      <c r="C23" s="109">
        <v>0.38</v>
      </c>
      <c r="F23" s="107">
        <v>64</v>
      </c>
      <c r="I23" s="107"/>
    </row>
    <row r="24" spans="1:9" x14ac:dyDescent="0.45">
      <c r="A24" s="107">
        <v>61</v>
      </c>
      <c r="B24" s="107">
        <v>48.3</v>
      </c>
      <c r="C24" s="109">
        <v>0.4</v>
      </c>
      <c r="F24" s="107">
        <v>61</v>
      </c>
      <c r="I24" s="107"/>
    </row>
    <row r="25" spans="1:9" x14ac:dyDescent="0.45">
      <c r="F25" s="107">
        <v>63</v>
      </c>
      <c r="I25" s="107"/>
    </row>
    <row r="26" spans="1:9" x14ac:dyDescent="0.45">
      <c r="F26" s="107">
        <v>61</v>
      </c>
      <c r="I26" s="107"/>
    </row>
    <row r="27" spans="1:9" x14ac:dyDescent="0.45">
      <c r="I27" s="107"/>
    </row>
    <row r="28" spans="1:9" x14ac:dyDescent="0.45">
      <c r="I28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Lookups</vt:lpstr>
      <vt:lpstr>Mike SAC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Michaels</dc:creator>
  <cp:lastModifiedBy>Mike Michaels</cp:lastModifiedBy>
  <dcterms:created xsi:type="dcterms:W3CDTF">2019-09-30T15:53:18Z</dcterms:created>
  <dcterms:modified xsi:type="dcterms:W3CDTF">2021-09-04T04:00:25Z</dcterms:modified>
</cp:coreProperties>
</file>